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10485"/>
  </bookViews>
  <sheets>
    <sheet name="挹江门收费项目" sheetId="1" r:id="rId1"/>
  </sheets>
  <definedNames>
    <definedName name="_xlnm._FilterDatabase" localSheetId="0" hidden="1">挹江门收费项目!$E$1:$E$641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3" i="1"/>
  <c r="E641"/>
  <c r="D641"/>
  <c r="A641"/>
  <c r="E640"/>
  <c r="D640"/>
  <c r="A640"/>
  <c r="E639"/>
  <c r="D639"/>
  <c r="A639"/>
  <c r="E638"/>
  <c r="D638"/>
  <c r="A638"/>
  <c r="E637"/>
  <c r="D637"/>
  <c r="C637"/>
  <c r="B637"/>
  <c r="A637"/>
  <c r="E636"/>
  <c r="D636"/>
  <c r="A636"/>
  <c r="E635"/>
  <c r="D635"/>
  <c r="A635"/>
  <c r="E634"/>
  <c r="D634"/>
  <c r="A634"/>
  <c r="E633"/>
  <c r="D633"/>
  <c r="A633"/>
  <c r="E632"/>
  <c r="D632"/>
  <c r="A632"/>
  <c r="E631"/>
  <c r="D631"/>
  <c r="A631"/>
  <c r="E630"/>
  <c r="D630"/>
  <c r="A630"/>
  <c r="E629"/>
  <c r="D629"/>
  <c r="A629"/>
  <c r="E628"/>
  <c r="D628"/>
  <c r="A628"/>
  <c r="E627"/>
  <c r="D627"/>
  <c r="A627"/>
  <c r="E626"/>
  <c r="D626"/>
  <c r="C626"/>
  <c r="B626"/>
  <c r="A626"/>
  <c r="E625"/>
  <c r="D625"/>
  <c r="C625"/>
  <c r="B625"/>
  <c r="A625"/>
  <c r="E624"/>
  <c r="D624"/>
  <c r="C624"/>
  <c r="B624"/>
  <c r="A624"/>
  <c r="E623"/>
  <c r="D623"/>
  <c r="A623"/>
  <c r="E622"/>
  <c r="D622"/>
  <c r="C622"/>
  <c r="B622"/>
  <c r="A622"/>
  <c r="E621"/>
  <c r="D621"/>
  <c r="C621"/>
  <c r="B621"/>
  <c r="A621"/>
  <c r="E620"/>
  <c r="D620"/>
  <c r="B620"/>
  <c r="A620"/>
  <c r="E619"/>
  <c r="D619"/>
  <c r="B619"/>
  <c r="A619"/>
  <c r="E618"/>
  <c r="D618"/>
  <c r="B618"/>
  <c r="A618"/>
  <c r="E617"/>
  <c r="D617"/>
  <c r="A617"/>
  <c r="E616"/>
  <c r="D616"/>
  <c r="A616"/>
  <c r="E615"/>
  <c r="D615"/>
  <c r="C615"/>
  <c r="B615"/>
  <c r="A615"/>
  <c r="E614"/>
  <c r="D614"/>
  <c r="A614"/>
  <c r="E613"/>
  <c r="D613"/>
  <c r="C613"/>
  <c r="B613"/>
  <c r="A613"/>
  <c r="E612"/>
  <c r="D612"/>
  <c r="A612"/>
  <c r="E611"/>
  <c r="D611"/>
  <c r="C611"/>
  <c r="B611"/>
  <c r="A611"/>
  <c r="E610"/>
  <c r="D610"/>
  <c r="C610"/>
  <c r="B610"/>
  <c r="A610"/>
  <c r="E609"/>
  <c r="D609"/>
  <c r="C609"/>
  <c r="B609"/>
  <c r="A609"/>
  <c r="E608"/>
  <c r="D608"/>
  <c r="C608"/>
  <c r="B608"/>
  <c r="A608"/>
  <c r="E607"/>
  <c r="D607"/>
  <c r="C607"/>
  <c r="B607"/>
  <c r="A607"/>
  <c r="E606"/>
  <c r="D606"/>
  <c r="C606"/>
  <c r="B606"/>
  <c r="A606"/>
  <c r="E605"/>
  <c r="D605"/>
  <c r="C605"/>
  <c r="B605"/>
  <c r="A605"/>
  <c r="E604"/>
  <c r="D604"/>
  <c r="C604"/>
  <c r="B604"/>
  <c r="A604"/>
  <c r="E603"/>
  <c r="D603"/>
  <c r="C603"/>
  <c r="B603"/>
  <c r="A603"/>
  <c r="E602"/>
  <c r="D602"/>
  <c r="C602"/>
  <c r="B602"/>
  <c r="A602"/>
  <c r="E601"/>
  <c r="D601"/>
  <c r="C601"/>
  <c r="B601"/>
  <c r="A601"/>
  <c r="E600"/>
  <c r="D600"/>
  <c r="C600"/>
  <c r="B600"/>
  <c r="A600"/>
  <c r="E599"/>
  <c r="D599"/>
  <c r="C599"/>
  <c r="B599"/>
  <c r="A599"/>
  <c r="E598"/>
  <c r="D598"/>
  <c r="C598"/>
  <c r="B598"/>
  <c r="A598"/>
  <c r="E597"/>
  <c r="D597"/>
  <c r="C597"/>
  <c r="B597"/>
  <c r="A597"/>
  <c r="E596"/>
  <c r="D596"/>
  <c r="A596"/>
  <c r="E595"/>
  <c r="D595"/>
  <c r="A595"/>
  <c r="E594"/>
  <c r="D594"/>
  <c r="A594"/>
  <c r="E593"/>
  <c r="D593"/>
  <c r="A593"/>
  <c r="E592"/>
  <c r="D592"/>
  <c r="A592"/>
  <c r="E591"/>
  <c r="D591"/>
  <c r="A591"/>
  <c r="E590"/>
  <c r="D590"/>
  <c r="A590"/>
  <c r="E589"/>
  <c r="D589"/>
  <c r="A589"/>
  <c r="E588"/>
  <c r="D588"/>
  <c r="A588"/>
  <c r="E587"/>
  <c r="D587"/>
  <c r="A587"/>
  <c r="E586"/>
  <c r="D586"/>
  <c r="A586"/>
  <c r="E585"/>
  <c r="D585"/>
  <c r="A585"/>
  <c r="E584"/>
  <c r="D584"/>
  <c r="A584"/>
  <c r="E583"/>
  <c r="D583"/>
  <c r="A583"/>
  <c r="E582"/>
  <c r="D582"/>
  <c r="A582"/>
  <c r="E581"/>
  <c r="D581"/>
  <c r="A581"/>
  <c r="E580"/>
  <c r="D580"/>
  <c r="A580"/>
  <c r="E579"/>
  <c r="D579"/>
  <c r="A579"/>
  <c r="E578"/>
  <c r="D578"/>
  <c r="A578"/>
  <c r="E577"/>
  <c r="D577"/>
  <c r="A577"/>
  <c r="E576"/>
  <c r="D576"/>
  <c r="A576"/>
  <c r="E575"/>
  <c r="D575"/>
  <c r="A575"/>
  <c r="E574"/>
  <c r="D574"/>
  <c r="A574"/>
  <c r="E573"/>
  <c r="D573"/>
  <c r="A573"/>
  <c r="E572"/>
  <c r="D572"/>
  <c r="A572"/>
  <c r="E571"/>
  <c r="D571"/>
  <c r="A571"/>
  <c r="E570"/>
  <c r="D570"/>
  <c r="A570"/>
  <c r="E569"/>
  <c r="D569"/>
  <c r="A569"/>
  <c r="E568"/>
  <c r="D568"/>
  <c r="A568"/>
  <c r="E567"/>
  <c r="D567"/>
  <c r="A567"/>
  <c r="E566"/>
  <c r="D566"/>
  <c r="A566"/>
  <c r="E565"/>
  <c r="D565"/>
  <c r="A565"/>
  <c r="E564"/>
  <c r="D564"/>
  <c r="A564"/>
  <c r="E563"/>
  <c r="D563"/>
  <c r="A563"/>
  <c r="E562"/>
  <c r="D562"/>
  <c r="A562"/>
  <c r="E561"/>
  <c r="D561"/>
  <c r="A561"/>
  <c r="E560"/>
  <c r="D560"/>
  <c r="A560"/>
  <c r="E559"/>
  <c r="D559"/>
  <c r="A559"/>
  <c r="E558"/>
  <c r="D558"/>
  <c r="A558"/>
  <c r="E557"/>
  <c r="D557"/>
  <c r="A557"/>
  <c r="E556"/>
  <c r="D556"/>
  <c r="A556"/>
  <c r="E555"/>
  <c r="D555"/>
  <c r="A555"/>
  <c r="E554"/>
  <c r="D554"/>
  <c r="A554"/>
  <c r="E553"/>
  <c r="D553"/>
  <c r="A553"/>
  <c r="E552"/>
  <c r="D552"/>
  <c r="A552"/>
  <c r="E551"/>
  <c r="D551"/>
  <c r="A551"/>
  <c r="E550"/>
  <c r="D550"/>
  <c r="A550"/>
  <c r="E549"/>
  <c r="D549"/>
  <c r="A549"/>
  <c r="E548"/>
  <c r="D548"/>
  <c r="A548"/>
  <c r="E547"/>
  <c r="D547"/>
  <c r="A547"/>
  <c r="E546"/>
  <c r="D546"/>
  <c r="A546"/>
  <c r="E545"/>
  <c r="D545"/>
  <c r="A545"/>
  <c r="E544"/>
  <c r="D544"/>
  <c r="A544"/>
  <c r="E543"/>
  <c r="D543"/>
  <c r="A543"/>
  <c r="E542"/>
  <c r="D542"/>
  <c r="A542"/>
  <c r="E541"/>
  <c r="D541"/>
  <c r="A541"/>
  <c r="E540"/>
  <c r="D540"/>
  <c r="A540"/>
  <c r="E539"/>
  <c r="D539"/>
  <c r="A539"/>
  <c r="E538"/>
  <c r="D538"/>
  <c r="A538"/>
  <c r="E537"/>
  <c r="D537"/>
  <c r="A537"/>
  <c r="E536"/>
  <c r="D536"/>
  <c r="A536"/>
  <c r="E535"/>
  <c r="D535"/>
  <c r="A535"/>
  <c r="E534"/>
  <c r="D534"/>
  <c r="A534"/>
  <c r="E533"/>
  <c r="D533"/>
  <c r="A533"/>
  <c r="E532"/>
  <c r="D532"/>
  <c r="A532"/>
  <c r="E531"/>
  <c r="D531"/>
  <c r="A531"/>
  <c r="E530"/>
  <c r="D530"/>
  <c r="A530"/>
  <c r="E529"/>
  <c r="D529"/>
  <c r="A529"/>
  <c r="E528"/>
  <c r="D528"/>
  <c r="A528"/>
  <c r="E527"/>
  <c r="D527"/>
  <c r="A527"/>
  <c r="E526"/>
  <c r="D526"/>
  <c r="A526"/>
  <c r="E525"/>
  <c r="D525"/>
  <c r="A525"/>
  <c r="E524"/>
  <c r="D524"/>
  <c r="A524"/>
  <c r="E523"/>
  <c r="D523"/>
  <c r="A523"/>
  <c r="E522"/>
  <c r="D522"/>
  <c r="A522"/>
  <c r="E521"/>
  <c r="D521"/>
  <c r="A521"/>
  <c r="E520"/>
  <c r="D520"/>
  <c r="A520"/>
  <c r="E519"/>
  <c r="D519"/>
  <c r="A519"/>
  <c r="E518"/>
  <c r="D518"/>
  <c r="A518"/>
  <c r="E517"/>
  <c r="D517"/>
  <c r="A517"/>
  <c r="E516"/>
  <c r="D516"/>
  <c r="A516"/>
  <c r="E515"/>
  <c r="D515"/>
  <c r="A515"/>
  <c r="E514"/>
  <c r="D514"/>
  <c r="A514"/>
  <c r="E513"/>
  <c r="D513"/>
  <c r="A513"/>
  <c r="E512"/>
  <c r="D512"/>
  <c r="A512"/>
  <c r="E511"/>
  <c r="D511"/>
  <c r="A511"/>
  <c r="E510"/>
  <c r="D510"/>
  <c r="A510"/>
  <c r="E509"/>
  <c r="D509"/>
  <c r="A509"/>
  <c r="E508"/>
  <c r="D508"/>
  <c r="A508"/>
  <c r="E507"/>
  <c r="D507"/>
  <c r="A507"/>
  <c r="E506"/>
  <c r="D506"/>
  <c r="A506"/>
  <c r="E505"/>
  <c r="D505"/>
  <c r="A505"/>
  <c r="E504"/>
  <c r="D504"/>
  <c r="A504"/>
  <c r="E503"/>
  <c r="D503"/>
  <c r="A503"/>
  <c r="E502"/>
  <c r="D502"/>
  <c r="A502"/>
  <c r="E501"/>
  <c r="D501"/>
  <c r="A501"/>
  <c r="E500"/>
  <c r="D500"/>
  <c r="A500"/>
  <c r="E499"/>
  <c r="D499"/>
  <c r="A499"/>
  <c r="E498"/>
  <c r="D498"/>
  <c r="A498"/>
  <c r="E497"/>
  <c r="D497"/>
  <c r="A497"/>
  <c r="E496"/>
  <c r="D496"/>
  <c r="A496"/>
  <c r="E495"/>
  <c r="D495"/>
  <c r="A495"/>
  <c r="E494"/>
  <c r="D494"/>
  <c r="A494"/>
  <c r="E493"/>
  <c r="D493"/>
  <c r="A493"/>
  <c r="E492"/>
  <c r="D492"/>
  <c r="A492"/>
  <c r="E491"/>
  <c r="D491"/>
  <c r="A491"/>
  <c r="E490"/>
  <c r="D490"/>
  <c r="A490"/>
  <c r="E489"/>
  <c r="D489"/>
  <c r="A489"/>
  <c r="E488"/>
  <c r="D488"/>
  <c r="A488"/>
  <c r="E487"/>
  <c r="D487"/>
  <c r="A487"/>
  <c r="E486"/>
  <c r="D486"/>
  <c r="A486"/>
  <c r="E485"/>
  <c r="D485"/>
  <c r="A485"/>
  <c r="E484"/>
  <c r="D484"/>
  <c r="A484"/>
  <c r="E483"/>
  <c r="D483"/>
  <c r="A483"/>
  <c r="E482"/>
  <c r="D482"/>
  <c r="A482"/>
  <c r="E481"/>
  <c r="D481"/>
  <c r="A481"/>
  <c r="E480"/>
  <c r="D480"/>
  <c r="A480"/>
  <c r="E479"/>
  <c r="D479"/>
  <c r="A479"/>
  <c r="E478"/>
  <c r="D478"/>
  <c r="A478"/>
  <c r="E477"/>
  <c r="D477"/>
  <c r="A477"/>
  <c r="E476"/>
  <c r="D476"/>
  <c r="A476"/>
  <c r="E475"/>
  <c r="D475"/>
  <c r="A475"/>
  <c r="E474"/>
  <c r="D474"/>
  <c r="A474"/>
  <c r="E473"/>
  <c r="D473"/>
  <c r="A473"/>
  <c r="E472"/>
  <c r="D472"/>
  <c r="A472"/>
  <c r="E471"/>
  <c r="D471"/>
  <c r="A471"/>
  <c r="E470"/>
  <c r="D470"/>
  <c r="A470"/>
  <c r="E469"/>
  <c r="D469"/>
  <c r="A469"/>
  <c r="E468"/>
  <c r="D468"/>
  <c r="A468"/>
  <c r="E467"/>
  <c r="D467"/>
  <c r="A467"/>
  <c r="E466"/>
  <c r="D466"/>
  <c r="A466"/>
  <c r="E465"/>
  <c r="D465"/>
  <c r="A465"/>
  <c r="E464"/>
  <c r="D464"/>
  <c r="A464"/>
  <c r="E463"/>
  <c r="D463"/>
  <c r="A463"/>
  <c r="E462"/>
  <c r="D462"/>
  <c r="A462"/>
  <c r="E461"/>
  <c r="D461"/>
  <c r="A461"/>
  <c r="E460"/>
  <c r="D460"/>
  <c r="A460"/>
  <c r="E459"/>
  <c r="D459"/>
  <c r="A459"/>
  <c r="E458"/>
  <c r="D458"/>
  <c r="A458"/>
  <c r="E457"/>
  <c r="D457"/>
  <c r="A457"/>
  <c r="E456"/>
  <c r="D456"/>
  <c r="A456"/>
  <c r="E455"/>
  <c r="D455"/>
  <c r="A455"/>
  <c r="E454"/>
  <c r="D454"/>
  <c r="A454"/>
  <c r="E453"/>
  <c r="D453"/>
  <c r="A453"/>
  <c r="E452"/>
  <c r="D452"/>
  <c r="A452"/>
  <c r="E451"/>
  <c r="D451"/>
  <c r="A451"/>
  <c r="E450"/>
  <c r="D450"/>
  <c r="A450"/>
  <c r="E449"/>
  <c r="D449"/>
  <c r="A449"/>
  <c r="E448"/>
  <c r="D448"/>
  <c r="A448"/>
  <c r="E447"/>
  <c r="D447"/>
  <c r="A447"/>
  <c r="E446"/>
  <c r="D446"/>
  <c r="A446"/>
  <c r="E445"/>
  <c r="D445"/>
  <c r="A445"/>
  <c r="E444"/>
  <c r="D444"/>
  <c r="A444"/>
  <c r="E443"/>
  <c r="D443"/>
  <c r="A443"/>
  <c r="E442"/>
  <c r="D442"/>
  <c r="A442"/>
  <c r="E441"/>
  <c r="D441"/>
  <c r="A441"/>
  <c r="E440"/>
  <c r="D440"/>
  <c r="A440"/>
  <c r="E439"/>
  <c r="D439"/>
  <c r="A439"/>
  <c r="E438"/>
  <c r="D438"/>
  <c r="A438"/>
  <c r="E437"/>
  <c r="D437"/>
  <c r="A437"/>
  <c r="E436"/>
  <c r="D436"/>
  <c r="A436"/>
  <c r="E435"/>
  <c r="D435"/>
  <c r="A435"/>
  <c r="E434"/>
  <c r="D434"/>
  <c r="A434"/>
  <c r="E433"/>
  <c r="D433"/>
  <c r="A433"/>
  <c r="E432"/>
  <c r="D432"/>
  <c r="A432"/>
  <c r="E431"/>
  <c r="D431"/>
  <c r="A431"/>
  <c r="E430"/>
  <c r="D430"/>
  <c r="A430"/>
  <c r="E429"/>
  <c r="D429"/>
  <c r="A429"/>
  <c r="E428"/>
  <c r="D428"/>
  <c r="A428"/>
  <c r="E427"/>
  <c r="D427"/>
  <c r="A427"/>
  <c r="E426"/>
  <c r="D426"/>
  <c r="A426"/>
  <c r="E425"/>
  <c r="D425"/>
  <c r="A425"/>
  <c r="E424"/>
  <c r="D424"/>
  <c r="A424"/>
  <c r="E423"/>
  <c r="D423"/>
  <c r="A423"/>
  <c r="E422"/>
  <c r="D422"/>
  <c r="A422"/>
  <c r="E421"/>
  <c r="D421"/>
  <c r="A421"/>
  <c r="E420"/>
  <c r="D420"/>
  <c r="A420"/>
  <c r="E419"/>
  <c r="D419"/>
  <c r="A419"/>
  <c r="E418"/>
  <c r="D418"/>
  <c r="A418"/>
  <c r="E417"/>
  <c r="D417"/>
  <c r="A417"/>
  <c r="E416"/>
  <c r="D416"/>
  <c r="A416"/>
  <c r="E415"/>
  <c r="D415"/>
  <c r="A415"/>
  <c r="E414"/>
  <c r="D414"/>
  <c r="A414"/>
  <c r="E413"/>
  <c r="D413"/>
  <c r="A413"/>
  <c r="E412"/>
  <c r="D412"/>
  <c r="A412"/>
  <c r="E411"/>
  <c r="D411"/>
  <c r="A411"/>
  <c r="E410"/>
  <c r="D410"/>
  <c r="A410"/>
  <c r="E409"/>
  <c r="D409"/>
  <c r="A409"/>
  <c r="E408"/>
  <c r="D408"/>
  <c r="A408"/>
  <c r="E407"/>
  <c r="D407"/>
  <c r="A407"/>
  <c r="E406"/>
  <c r="D406"/>
  <c r="A406"/>
  <c r="E405"/>
  <c r="D405"/>
  <c r="A405"/>
  <c r="E404"/>
  <c r="D404"/>
  <c r="A404"/>
  <c r="E403"/>
  <c r="D403"/>
  <c r="E402"/>
  <c r="D402"/>
  <c r="A402"/>
  <c r="E401"/>
  <c r="D401"/>
  <c r="A401"/>
  <c r="E400"/>
  <c r="D400"/>
  <c r="A400"/>
  <c r="E399"/>
  <c r="D399"/>
  <c r="A399"/>
  <c r="E398"/>
  <c r="D398"/>
  <c r="A398"/>
  <c r="E397"/>
  <c r="D397"/>
  <c r="A397"/>
  <c r="E396"/>
  <c r="D396"/>
  <c r="A396"/>
  <c r="E395"/>
  <c r="D395"/>
  <c r="A395"/>
  <c r="E394"/>
  <c r="D394"/>
  <c r="A394"/>
  <c r="E393"/>
  <c r="D393"/>
  <c r="A393"/>
  <c r="E392"/>
  <c r="D392"/>
  <c r="A392"/>
  <c r="E391"/>
  <c r="D391"/>
  <c r="A391"/>
  <c r="E390"/>
  <c r="D390"/>
  <c r="A390"/>
  <c r="E389"/>
  <c r="D389"/>
  <c r="A389"/>
  <c r="E388"/>
  <c r="D388"/>
  <c r="A388"/>
  <c r="E387"/>
  <c r="D387"/>
  <c r="A387"/>
  <c r="E386"/>
  <c r="D386"/>
  <c r="A386"/>
  <c r="E385"/>
  <c r="D385"/>
  <c r="A385"/>
  <c r="E384"/>
  <c r="D384"/>
  <c r="A384"/>
  <c r="E383"/>
  <c r="D383"/>
  <c r="A383"/>
  <c r="E382"/>
  <c r="D382"/>
  <c r="A382"/>
  <c r="E381"/>
  <c r="D381"/>
  <c r="A381"/>
  <c r="E380"/>
  <c r="D380"/>
  <c r="A380"/>
  <c r="E379"/>
  <c r="D379"/>
  <c r="A379"/>
  <c r="E378"/>
  <c r="D378"/>
  <c r="A378"/>
  <c r="E377"/>
  <c r="D377"/>
  <c r="A377"/>
  <c r="E376"/>
  <c r="D376"/>
  <c r="A376"/>
  <c r="E375"/>
  <c r="D375"/>
  <c r="A375"/>
  <c r="E374"/>
  <c r="D374"/>
  <c r="A374"/>
  <c r="E373"/>
  <c r="D373"/>
  <c r="A373"/>
  <c r="E372"/>
  <c r="D372"/>
  <c r="A372"/>
  <c r="E371"/>
  <c r="D371"/>
  <c r="A371"/>
  <c r="E370"/>
  <c r="D370"/>
  <c r="A370"/>
  <c r="E369"/>
  <c r="D369"/>
  <c r="A369"/>
  <c r="E368"/>
  <c r="D368"/>
  <c r="A368"/>
  <c r="E367"/>
  <c r="D367"/>
  <c r="A367"/>
  <c r="E366"/>
  <c r="D366"/>
  <c r="A366"/>
  <c r="E365"/>
  <c r="D365"/>
  <c r="A365"/>
  <c r="E364"/>
  <c r="D364"/>
  <c r="A364"/>
  <c r="E363"/>
  <c r="D363"/>
  <c r="A363"/>
  <c r="E362"/>
  <c r="D362"/>
  <c r="A362"/>
  <c r="E361"/>
  <c r="D361"/>
  <c r="A361"/>
  <c r="E360"/>
  <c r="D360"/>
  <c r="A360"/>
  <c r="E359"/>
  <c r="D359"/>
  <c r="A359"/>
  <c r="E358"/>
  <c r="D358"/>
  <c r="A358"/>
  <c r="E357"/>
  <c r="D357"/>
  <c r="A357"/>
  <c r="E356"/>
  <c r="D356"/>
  <c r="A356"/>
  <c r="E355"/>
  <c r="D355"/>
  <c r="A355"/>
  <c r="E354"/>
  <c r="D354"/>
  <c r="A354"/>
  <c r="E353"/>
  <c r="D353"/>
  <c r="A353"/>
  <c r="E352"/>
  <c r="D352"/>
  <c r="A352"/>
  <c r="E351"/>
  <c r="D351"/>
  <c r="A351"/>
  <c r="E350"/>
  <c r="D350"/>
  <c r="A350"/>
  <c r="E349"/>
  <c r="D349"/>
  <c r="A349"/>
  <c r="E348"/>
  <c r="D348"/>
  <c r="A348"/>
  <c r="E347"/>
  <c r="D347"/>
  <c r="A347"/>
  <c r="E346"/>
  <c r="D346"/>
  <c r="A346"/>
  <c r="E345"/>
  <c r="D345"/>
  <c r="A345"/>
  <c r="E344"/>
  <c r="D344"/>
  <c r="A344"/>
  <c r="E343"/>
  <c r="D343"/>
  <c r="A343"/>
  <c r="E342"/>
  <c r="D342"/>
  <c r="A342"/>
  <c r="E341"/>
  <c r="D341"/>
  <c r="A341"/>
  <c r="E340"/>
  <c r="D340"/>
  <c r="A340"/>
  <c r="E339"/>
  <c r="D339"/>
  <c r="A339"/>
  <c r="E338"/>
  <c r="D338"/>
  <c r="A338"/>
  <c r="E337"/>
  <c r="D337"/>
  <c r="A337"/>
  <c r="E336"/>
  <c r="D336"/>
  <c r="A336"/>
  <c r="E335"/>
  <c r="D335"/>
  <c r="A335"/>
  <c r="E334"/>
  <c r="D334"/>
  <c r="A334"/>
  <c r="E333"/>
  <c r="D333"/>
  <c r="A333"/>
  <c r="E332"/>
  <c r="D332"/>
  <c r="A332"/>
  <c r="E331"/>
  <c r="D331"/>
  <c r="A331"/>
  <c r="E330"/>
  <c r="D330"/>
  <c r="A330"/>
  <c r="E329"/>
  <c r="D329"/>
  <c r="A329"/>
  <c r="E328"/>
  <c r="D328"/>
  <c r="A328"/>
  <c r="E327"/>
  <c r="D327"/>
  <c r="A327"/>
  <c r="E326"/>
  <c r="D326"/>
  <c r="A326"/>
  <c r="E325"/>
  <c r="D325"/>
  <c r="A325"/>
  <c r="E324"/>
  <c r="D324"/>
  <c r="A324"/>
  <c r="E323"/>
  <c r="D323"/>
  <c r="A323"/>
  <c r="E322"/>
  <c r="D322"/>
  <c r="A322"/>
  <c r="E321"/>
  <c r="D321"/>
  <c r="A321"/>
  <c r="E320"/>
  <c r="D320"/>
  <c r="A320"/>
  <c r="E319"/>
  <c r="D319"/>
  <c r="A319"/>
  <c r="E318"/>
  <c r="D318"/>
  <c r="A318"/>
  <c r="E317"/>
  <c r="D317"/>
  <c r="A317"/>
  <c r="E316"/>
  <c r="D316"/>
  <c r="A316"/>
  <c r="E315"/>
  <c r="D315"/>
  <c r="A315"/>
  <c r="E314"/>
  <c r="D314"/>
  <c r="A314"/>
  <c r="E313"/>
  <c r="D313"/>
  <c r="A313"/>
  <c r="E312"/>
  <c r="D312"/>
  <c r="A312"/>
  <c r="E311"/>
  <c r="D311"/>
  <c r="A311"/>
  <c r="E310"/>
  <c r="D310"/>
  <c r="A310"/>
  <c r="E309"/>
  <c r="D309"/>
  <c r="A309"/>
  <c r="E308"/>
  <c r="D308"/>
  <c r="A308"/>
  <c r="E307"/>
  <c r="D307"/>
  <c r="A307"/>
  <c r="E306"/>
  <c r="D306"/>
  <c r="A306"/>
  <c r="E305"/>
  <c r="D305"/>
  <c r="A305"/>
  <c r="E304"/>
  <c r="D304"/>
  <c r="A304"/>
  <c r="E303"/>
  <c r="D303"/>
  <c r="A303"/>
  <c r="E302"/>
  <c r="D302"/>
  <c r="A302"/>
  <c r="E301"/>
  <c r="D301"/>
  <c r="A301"/>
  <c r="E300"/>
  <c r="D300"/>
  <c r="A300"/>
  <c r="E299"/>
  <c r="D299"/>
  <c r="A299"/>
  <c r="E298"/>
  <c r="D298"/>
  <c r="A298"/>
  <c r="E297"/>
  <c r="D297"/>
  <c r="A297"/>
  <c r="E296"/>
  <c r="D296"/>
  <c r="A296"/>
  <c r="E295"/>
  <c r="D295"/>
  <c r="A295"/>
  <c r="E294"/>
  <c r="D294"/>
  <c r="A294"/>
  <c r="E293"/>
  <c r="D293"/>
  <c r="A293"/>
  <c r="E292"/>
  <c r="D292"/>
  <c r="A292"/>
  <c r="E291"/>
  <c r="D291"/>
  <c r="A291"/>
  <c r="E290"/>
  <c r="D290"/>
  <c r="A290"/>
  <c r="E289"/>
  <c r="D289"/>
  <c r="C289"/>
  <c r="B289"/>
  <c r="A289"/>
  <c r="E288"/>
  <c r="D288"/>
  <c r="A288"/>
  <c r="E287"/>
  <c r="D287"/>
  <c r="A287"/>
  <c r="E286"/>
  <c r="D286"/>
  <c r="A286"/>
  <c r="E285"/>
  <c r="D285"/>
  <c r="A285"/>
  <c r="E284"/>
  <c r="D284"/>
  <c r="A284"/>
  <c r="E283"/>
  <c r="D283"/>
  <c r="A283"/>
  <c r="E282"/>
  <c r="D282"/>
  <c r="A282"/>
  <c r="E281"/>
  <c r="D281"/>
  <c r="A281"/>
  <c r="E280"/>
  <c r="D280"/>
  <c r="A280"/>
  <c r="E279"/>
  <c r="D279"/>
  <c r="A279"/>
  <c r="E278"/>
  <c r="D278"/>
  <c r="A278"/>
  <c r="E277"/>
  <c r="D277"/>
  <c r="A277"/>
  <c r="E276"/>
  <c r="D276"/>
  <c r="A276"/>
  <c r="E275"/>
  <c r="D275"/>
  <c r="A275"/>
  <c r="E274"/>
  <c r="D274"/>
  <c r="A274"/>
  <c r="E273"/>
  <c r="D273"/>
  <c r="A273"/>
  <c r="E272"/>
  <c r="D272"/>
  <c r="A272"/>
  <c r="E271"/>
  <c r="D271"/>
  <c r="A271"/>
  <c r="E270"/>
  <c r="D270"/>
  <c r="A270"/>
  <c r="E269"/>
  <c r="D269"/>
  <c r="A269"/>
  <c r="E268"/>
  <c r="D268"/>
  <c r="A268"/>
  <c r="E267"/>
  <c r="D267"/>
  <c r="A267"/>
  <c r="E266"/>
  <c r="D266"/>
  <c r="A266"/>
  <c r="E265"/>
  <c r="D265"/>
  <c r="A265"/>
  <c r="E264"/>
  <c r="D264"/>
  <c r="A264"/>
  <c r="E263"/>
  <c r="D263"/>
  <c r="A263"/>
  <c r="E262"/>
  <c r="D262"/>
  <c r="A262"/>
  <c r="E261"/>
  <c r="D261"/>
  <c r="A261"/>
  <c r="E260"/>
  <c r="D260"/>
  <c r="A260"/>
  <c r="E259"/>
  <c r="D259"/>
  <c r="A259"/>
  <c r="E258"/>
  <c r="D258"/>
  <c r="A258"/>
  <c r="E257"/>
  <c r="D257"/>
  <c r="A257"/>
  <c r="E256"/>
  <c r="D256"/>
  <c r="A256"/>
  <c r="E255"/>
  <c r="D255"/>
  <c r="A255"/>
  <c r="E254"/>
  <c r="D254"/>
  <c r="A254"/>
  <c r="E253"/>
  <c r="D253"/>
  <c r="A253"/>
  <c r="E252"/>
  <c r="D252"/>
  <c r="A252"/>
  <c r="E251"/>
  <c r="D251"/>
  <c r="A251"/>
  <c r="E250"/>
  <c r="D250"/>
  <c r="A250"/>
  <c r="E249"/>
  <c r="D249"/>
  <c r="A249"/>
  <c r="E248"/>
  <c r="D248"/>
  <c r="A248"/>
  <c r="E247"/>
  <c r="D247"/>
  <c r="A247"/>
  <c r="E246"/>
  <c r="D246"/>
  <c r="A246"/>
  <c r="E245"/>
  <c r="D245"/>
  <c r="A245"/>
  <c r="E244"/>
  <c r="D244"/>
  <c r="A244"/>
  <c r="E243"/>
  <c r="D243"/>
  <c r="A243"/>
  <c r="E242"/>
  <c r="D242"/>
  <c r="A242"/>
  <c r="E241"/>
  <c r="D241"/>
  <c r="A241"/>
  <c r="E240"/>
  <c r="D240"/>
  <c r="A240"/>
  <c r="E239"/>
  <c r="D239"/>
  <c r="A239"/>
  <c r="E238"/>
  <c r="D238"/>
  <c r="A238"/>
  <c r="E237"/>
  <c r="D237"/>
  <c r="A237"/>
  <c r="E236"/>
  <c r="D236"/>
  <c r="A236"/>
  <c r="E235"/>
  <c r="D235"/>
  <c r="A235"/>
  <c r="E234"/>
  <c r="D234"/>
  <c r="A234"/>
  <c r="E233"/>
  <c r="D233"/>
  <c r="A233"/>
  <c r="E232"/>
  <c r="D232"/>
  <c r="A232"/>
  <c r="E231"/>
  <c r="D231"/>
  <c r="A231"/>
  <c r="E230"/>
  <c r="D230"/>
  <c r="A230"/>
  <c r="E229"/>
  <c r="D229"/>
  <c r="A229"/>
  <c r="E228"/>
  <c r="D228"/>
  <c r="A228"/>
  <c r="E227"/>
  <c r="D227"/>
  <c r="A227"/>
  <c r="E226"/>
  <c r="D226"/>
  <c r="A226"/>
  <c r="E225"/>
  <c r="D225"/>
  <c r="A225"/>
  <c r="E224"/>
  <c r="D224"/>
  <c r="A224"/>
  <c r="E223"/>
  <c r="D223"/>
  <c r="A223"/>
  <c r="E222"/>
  <c r="D222"/>
  <c r="A222"/>
  <c r="E221"/>
  <c r="D221"/>
  <c r="A221"/>
  <c r="E220"/>
  <c r="D220"/>
  <c r="A220"/>
  <c r="E219"/>
  <c r="D219"/>
  <c r="A219"/>
  <c r="E218"/>
  <c r="D218"/>
  <c r="A218"/>
  <c r="E217"/>
  <c r="D217"/>
  <c r="A217"/>
  <c r="E216"/>
  <c r="D216"/>
  <c r="A216"/>
  <c r="E215"/>
  <c r="D215"/>
  <c r="A215"/>
  <c r="E214"/>
  <c r="D214"/>
  <c r="A214"/>
  <c r="E213"/>
  <c r="D213"/>
  <c r="A213"/>
  <c r="E212"/>
  <c r="D212"/>
  <c r="A212"/>
  <c r="E211"/>
  <c r="D211"/>
  <c r="A211"/>
  <c r="E210"/>
  <c r="D210"/>
  <c r="A210"/>
  <c r="E209"/>
  <c r="D209"/>
  <c r="A209"/>
  <c r="E208"/>
  <c r="D208"/>
  <c r="A208"/>
  <c r="E207"/>
  <c r="D207"/>
  <c r="A207"/>
  <c r="E206"/>
  <c r="D206"/>
  <c r="A206"/>
  <c r="E205"/>
  <c r="D205"/>
  <c r="A205"/>
  <c r="E204"/>
  <c r="D204"/>
  <c r="A204"/>
  <c r="E203"/>
  <c r="D203"/>
  <c r="A203"/>
  <c r="E202"/>
  <c r="D202"/>
  <c r="A202"/>
  <c r="E201"/>
  <c r="D201"/>
  <c r="A201"/>
  <c r="E200"/>
  <c r="D200"/>
  <c r="A200"/>
  <c r="E199"/>
  <c r="D199"/>
  <c r="A199"/>
  <c r="E198"/>
  <c r="D198"/>
  <c r="A198"/>
  <c r="E197"/>
  <c r="D197"/>
  <c r="A197"/>
  <c r="E196"/>
  <c r="D196"/>
  <c r="A196"/>
  <c r="E195"/>
  <c r="D195"/>
  <c r="A195"/>
  <c r="E194"/>
  <c r="D194"/>
  <c r="A194"/>
  <c r="E193"/>
  <c r="D193"/>
  <c r="A193"/>
  <c r="E192"/>
  <c r="D192"/>
  <c r="A192"/>
  <c r="E191"/>
  <c r="D191"/>
  <c r="A191"/>
  <c r="E190"/>
  <c r="D190"/>
  <c r="A190"/>
  <c r="E189"/>
  <c r="D189"/>
  <c r="A189"/>
  <c r="E188"/>
  <c r="D188"/>
  <c r="A188"/>
  <c r="E187"/>
  <c r="D187"/>
  <c r="A187"/>
  <c r="E186"/>
  <c r="D186"/>
  <c r="A186"/>
  <c r="E185"/>
  <c r="D185"/>
  <c r="A185"/>
  <c r="E184"/>
  <c r="D184"/>
  <c r="A184"/>
  <c r="E183"/>
  <c r="D183"/>
  <c r="A183"/>
  <c r="E182"/>
  <c r="D182"/>
  <c r="A182"/>
  <c r="E181"/>
  <c r="D181"/>
  <c r="A181"/>
  <c r="E180"/>
  <c r="D180"/>
  <c r="A180"/>
  <c r="E179"/>
  <c r="D179"/>
  <c r="A179"/>
  <c r="E178"/>
  <c r="D178"/>
  <c r="A178"/>
  <c r="E177"/>
  <c r="D177"/>
  <c r="A177"/>
  <c r="E176"/>
  <c r="D176"/>
  <c r="A176"/>
  <c r="E175"/>
  <c r="D175"/>
  <c r="A175"/>
  <c r="E174"/>
  <c r="D174"/>
  <c r="A174"/>
  <c r="E173"/>
  <c r="D173"/>
  <c r="A173"/>
  <c r="E172"/>
  <c r="D172"/>
  <c r="A172"/>
  <c r="E171"/>
  <c r="D171"/>
  <c r="A171"/>
  <c r="E170"/>
  <c r="D170"/>
  <c r="A170"/>
  <c r="E169"/>
  <c r="D169"/>
  <c r="A169"/>
  <c r="E168"/>
  <c r="D168"/>
  <c r="A168"/>
  <c r="E167"/>
  <c r="D167"/>
  <c r="A167"/>
  <c r="E166"/>
  <c r="D166"/>
  <c r="A166"/>
  <c r="E165"/>
  <c r="D165"/>
  <c r="A165"/>
  <c r="E164"/>
  <c r="D164"/>
  <c r="A164"/>
  <c r="E163"/>
  <c r="D163"/>
  <c r="A163"/>
  <c r="E162"/>
  <c r="D162"/>
  <c r="A162"/>
  <c r="E161"/>
  <c r="D161"/>
  <c r="A161"/>
  <c r="E160"/>
  <c r="D160"/>
  <c r="A160"/>
  <c r="E159"/>
  <c r="D159"/>
  <c r="A159"/>
  <c r="E158"/>
  <c r="D158"/>
  <c r="A158"/>
  <c r="E157"/>
  <c r="D157"/>
  <c r="A157"/>
  <c r="E156"/>
  <c r="D156"/>
  <c r="A156"/>
  <c r="E155"/>
  <c r="D155"/>
  <c r="A155"/>
  <c r="E154"/>
  <c r="D154"/>
  <c r="A154"/>
  <c r="E153"/>
  <c r="D153"/>
  <c r="A153"/>
  <c r="E152"/>
  <c r="D152"/>
  <c r="A152"/>
  <c r="E151"/>
  <c r="D151"/>
  <c r="A151"/>
  <c r="E150"/>
  <c r="D150"/>
  <c r="A150"/>
  <c r="E149"/>
  <c r="D149"/>
  <c r="A149"/>
  <c r="E148"/>
  <c r="D148"/>
  <c r="A148"/>
  <c r="E147"/>
  <c r="D147"/>
  <c r="A147"/>
  <c r="E146"/>
  <c r="D146"/>
  <c r="A146"/>
  <c r="E145"/>
  <c r="D145"/>
  <c r="A145"/>
  <c r="E144"/>
  <c r="D144"/>
  <c r="A144"/>
  <c r="E143"/>
  <c r="D143"/>
  <c r="A143"/>
  <c r="E142"/>
  <c r="D142"/>
  <c r="A142"/>
  <c r="E141"/>
  <c r="D141"/>
  <c r="A141"/>
  <c r="E140"/>
  <c r="D140"/>
  <c r="A140"/>
  <c r="E139"/>
  <c r="D139"/>
  <c r="A139"/>
  <c r="E138"/>
  <c r="D138"/>
  <c r="A138"/>
  <c r="E137"/>
  <c r="D137"/>
  <c r="A137"/>
  <c r="E136"/>
  <c r="D136"/>
  <c r="A136"/>
  <c r="E135"/>
  <c r="D135"/>
  <c r="A135"/>
  <c r="E134"/>
  <c r="D134"/>
  <c r="A134"/>
  <c r="E133"/>
  <c r="D133"/>
  <c r="A133"/>
  <c r="E132"/>
  <c r="D132"/>
  <c r="A132"/>
  <c r="E131"/>
  <c r="D131"/>
  <c r="A131"/>
  <c r="E130"/>
  <c r="D130"/>
  <c r="A130"/>
  <c r="E129"/>
  <c r="D129"/>
  <c r="A129"/>
  <c r="E128"/>
  <c r="D128"/>
  <c r="A128"/>
  <c r="E127"/>
  <c r="D127"/>
  <c r="A127"/>
  <c r="E126"/>
  <c r="D126"/>
  <c r="A126"/>
  <c r="E125"/>
  <c r="D125"/>
  <c r="A125"/>
  <c r="E124"/>
  <c r="D124"/>
  <c r="A124"/>
  <c r="E123"/>
  <c r="D123"/>
  <c r="A123"/>
  <c r="E122"/>
  <c r="D122"/>
  <c r="A122"/>
  <c r="E121"/>
  <c r="D121"/>
  <c r="A121"/>
  <c r="E120"/>
  <c r="D120"/>
  <c r="A120"/>
  <c r="E119"/>
  <c r="D119"/>
  <c r="A119"/>
  <c r="E118"/>
  <c r="D118"/>
  <c r="A118"/>
  <c r="E117"/>
  <c r="D117"/>
  <c r="A117"/>
  <c r="E116"/>
  <c r="D116"/>
  <c r="A116"/>
  <c r="E115"/>
  <c r="D115"/>
  <c r="A115"/>
  <c r="E114"/>
  <c r="D114"/>
  <c r="A114"/>
  <c r="E113"/>
  <c r="D113"/>
  <c r="A113"/>
  <c r="E112"/>
  <c r="D112"/>
  <c r="A112"/>
  <c r="E111"/>
  <c r="D111"/>
  <c r="A111"/>
  <c r="E110"/>
  <c r="D110"/>
  <c r="A110"/>
  <c r="E109"/>
  <c r="D109"/>
  <c r="A109"/>
  <c r="E108"/>
  <c r="D108"/>
  <c r="A108"/>
  <c r="E107"/>
  <c r="D107"/>
  <c r="A107"/>
  <c r="E106"/>
  <c r="D106"/>
  <c r="A106"/>
  <c r="E105"/>
  <c r="D105"/>
  <c r="A105"/>
  <c r="E104"/>
  <c r="D104"/>
  <c r="A104"/>
  <c r="E103"/>
  <c r="D103"/>
  <c r="A103"/>
  <c r="E102"/>
  <c r="D102"/>
  <c r="A102"/>
  <c r="E101"/>
  <c r="D101"/>
  <c r="A101"/>
  <c r="E100"/>
  <c r="D100"/>
  <c r="A100"/>
  <c r="E99"/>
  <c r="D99"/>
  <c r="A99"/>
  <c r="E98"/>
  <c r="D98"/>
  <c r="A98"/>
  <c r="E97"/>
  <c r="D97"/>
  <c r="A97"/>
  <c r="E96"/>
  <c r="D96"/>
  <c r="A96"/>
  <c r="E95"/>
  <c r="D95"/>
  <c r="A95"/>
  <c r="E94"/>
  <c r="D94"/>
  <c r="A94"/>
  <c r="E93"/>
  <c r="D93"/>
  <c r="A93"/>
  <c r="E92"/>
  <c r="D92"/>
  <c r="A92"/>
  <c r="E91"/>
  <c r="D91"/>
  <c r="A91"/>
  <c r="E90"/>
  <c r="D90"/>
  <c r="A90"/>
  <c r="E89"/>
  <c r="D89"/>
  <c r="A89"/>
  <c r="E88"/>
  <c r="D88"/>
  <c r="A88"/>
  <c r="E87"/>
  <c r="D87"/>
  <c r="A87"/>
  <c r="E86"/>
  <c r="D86"/>
  <c r="A86"/>
  <c r="E85"/>
  <c r="D85"/>
  <c r="A85"/>
  <c r="E84"/>
  <c r="D84"/>
  <c r="A84"/>
  <c r="E83"/>
  <c r="D83"/>
  <c r="A83"/>
  <c r="E82"/>
  <c r="D82"/>
  <c r="A82"/>
  <c r="E81"/>
  <c r="D81"/>
  <c r="A81"/>
  <c r="E80"/>
  <c r="D80"/>
  <c r="A80"/>
  <c r="E79"/>
  <c r="D79"/>
  <c r="A79"/>
  <c r="E78"/>
  <c r="D78"/>
  <c r="A78"/>
  <c r="E77"/>
  <c r="D77"/>
  <c r="A77"/>
  <c r="E76"/>
  <c r="D76"/>
  <c r="A76"/>
  <c r="E75"/>
  <c r="D75"/>
  <c r="A75"/>
  <c r="E74"/>
  <c r="D74"/>
  <c r="A74"/>
  <c r="E73"/>
  <c r="D73"/>
  <c r="A73"/>
  <c r="E72"/>
  <c r="D72"/>
  <c r="A72"/>
  <c r="E71"/>
  <c r="D71"/>
  <c r="A71"/>
  <c r="E70"/>
  <c r="D70"/>
  <c r="A70"/>
  <c r="E69"/>
  <c r="D69"/>
  <c r="A69"/>
  <c r="E68"/>
  <c r="D68"/>
  <c r="A68"/>
  <c r="E67"/>
  <c r="D67"/>
  <c r="A67"/>
  <c r="E66"/>
  <c r="D66"/>
  <c r="A66"/>
  <c r="E65"/>
  <c r="D65"/>
  <c r="A65"/>
  <c r="E64"/>
  <c r="D64"/>
  <c r="A64"/>
  <c r="E63"/>
  <c r="D63"/>
  <c r="A63"/>
  <c r="E62"/>
  <c r="D62"/>
  <c r="A62"/>
  <c r="E61"/>
  <c r="D61"/>
  <c r="A61"/>
  <c r="E60"/>
  <c r="D60"/>
  <c r="A60"/>
  <c r="E59"/>
  <c r="D59"/>
  <c r="A59"/>
  <c r="E58"/>
  <c r="D58"/>
  <c r="A58"/>
  <c r="E57"/>
  <c r="D57"/>
  <c r="A57"/>
  <c r="E56"/>
  <c r="D56"/>
  <c r="A56"/>
  <c r="E55"/>
  <c r="D55"/>
  <c r="A55"/>
  <c r="E54"/>
  <c r="D54"/>
  <c r="A54"/>
  <c r="E53"/>
  <c r="D53"/>
  <c r="A53"/>
  <c r="E52"/>
  <c r="D52"/>
  <c r="A52"/>
  <c r="E51"/>
  <c r="D51"/>
  <c r="A51"/>
  <c r="E50"/>
  <c r="D50"/>
  <c r="A50"/>
  <c r="E49"/>
  <c r="D49"/>
  <c r="A49"/>
  <c r="E48"/>
  <c r="D48"/>
  <c r="A48"/>
  <c r="E47"/>
  <c r="D47"/>
  <c r="A47"/>
  <c r="E46"/>
  <c r="D46"/>
  <c r="A46"/>
  <c r="E45"/>
  <c r="D45"/>
  <c r="A45"/>
  <c r="E44"/>
  <c r="D44"/>
  <c r="A44"/>
  <c r="E43"/>
  <c r="D43"/>
  <c r="A43"/>
  <c r="E42"/>
  <c r="D42"/>
  <c r="A42"/>
  <c r="E41"/>
  <c r="D41"/>
  <c r="A41"/>
  <c r="E40"/>
  <c r="D40"/>
  <c r="A40"/>
  <c r="E39"/>
  <c r="D39"/>
  <c r="A39"/>
  <c r="E38"/>
  <c r="D38"/>
  <c r="A38"/>
  <c r="E37"/>
  <c r="D37"/>
  <c r="A37"/>
  <c r="E36"/>
  <c r="D36"/>
  <c r="A36"/>
  <c r="E35"/>
  <c r="D35"/>
  <c r="A35"/>
  <c r="E34"/>
  <c r="D34"/>
  <c r="A34"/>
  <c r="E33"/>
  <c r="D33"/>
  <c r="A33"/>
  <c r="E32"/>
  <c r="D32"/>
  <c r="A32"/>
  <c r="E31"/>
  <c r="D31"/>
  <c r="A31"/>
  <c r="E30"/>
  <c r="D30"/>
  <c r="A30"/>
  <c r="E29"/>
  <c r="D29"/>
  <c r="A29"/>
  <c r="E28"/>
  <c r="D28"/>
  <c r="A28"/>
  <c r="E27"/>
  <c r="D27"/>
  <c r="A27"/>
  <c r="E26"/>
  <c r="D26"/>
  <c r="A26"/>
  <c r="E25"/>
  <c r="D25"/>
  <c r="A25"/>
  <c r="E24"/>
  <c r="D24"/>
  <c r="A24"/>
  <c r="E23"/>
  <c r="D23"/>
  <c r="A23"/>
  <c r="E22"/>
  <c r="D22"/>
  <c r="A22"/>
  <c r="E21"/>
  <c r="D21"/>
  <c r="A21"/>
  <c r="E20"/>
  <c r="D20"/>
  <c r="A20"/>
  <c r="E19"/>
  <c r="D19"/>
  <c r="A19"/>
  <c r="E18"/>
  <c r="D18"/>
  <c r="A18"/>
  <c r="E17"/>
  <c r="D17"/>
  <c r="A17"/>
  <c r="E16"/>
  <c r="D16"/>
  <c r="A16"/>
  <c r="E15"/>
  <c r="D15"/>
  <c r="A15"/>
  <c r="E14"/>
  <c r="D14"/>
  <c r="A14"/>
  <c r="E13"/>
  <c r="D13"/>
  <c r="A13"/>
  <c r="E12"/>
  <c r="D12"/>
  <c r="A12"/>
  <c r="E11"/>
  <c r="D11"/>
  <c r="A11"/>
  <c r="E10"/>
  <c r="D10"/>
  <c r="A10"/>
  <c r="E9"/>
  <c r="D9"/>
  <c r="A9"/>
  <c r="E8"/>
  <c r="D8"/>
  <c r="A8"/>
  <c r="E7"/>
  <c r="D7"/>
  <c r="A7"/>
  <c r="E6"/>
  <c r="D6"/>
  <c r="A6"/>
  <c r="E5"/>
  <c r="D5"/>
  <c r="A5"/>
  <c r="E4"/>
  <c r="D4"/>
  <c r="A4"/>
  <c r="E3"/>
  <c r="D3"/>
  <c r="A3"/>
  <c r="E2"/>
  <c r="D2"/>
  <c r="A2"/>
</calcChain>
</file>

<file path=xl/sharedStrings.xml><?xml version="1.0" encoding="utf-8"?>
<sst xmlns="http://schemas.openxmlformats.org/spreadsheetml/2006/main" count="5" uniqueCount="5">
  <si>
    <t>项目名称</t>
  </si>
  <si>
    <t>单价</t>
  </si>
  <si>
    <t>单价限价</t>
  </si>
  <si>
    <t>单位</t>
  </si>
  <si>
    <t>核算科目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</si>
</sst>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1"/>
  <sheetViews>
    <sheetView tabSelected="1" topLeftCell="A381" workbookViewId="0">
      <selection activeCell="A403" sqref="A403"/>
    </sheetView>
  </sheetViews>
  <sheetFormatPr defaultColWidth="9.875" defaultRowHeight="13.5"/>
  <cols>
    <col min="1" max="1" width="41.875" style="1" customWidth="1"/>
    <col min="2" max="3" width="9.875" style="1"/>
    <col min="4" max="4" width="20.375" style="1" customWidth="1"/>
    <col min="5" max="16384" width="9.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>
        <v>53</v>
      </c>
      <c r="D2" s="1" t="str">
        <f t="shared" ref="D2:D6" si="0">"次"</f>
        <v>次</v>
      </c>
      <c r="E2" s="1" t="str">
        <f t="shared" ref="E2:E31" si="1">"治疗费"</f>
        <v>治疗费</v>
      </c>
    </row>
    <row r="3" spans="1:5">
      <c r="A3" s="1" t="str">
        <f>"中药贴敷-中药热奄包（扩展）"</f>
        <v>中药贴敷-中药热奄包（扩展）</v>
      </c>
      <c r="B3" s="1">
        <v>53</v>
      </c>
      <c r="C3" s="1">
        <v>53</v>
      </c>
      <c r="D3" s="1" t="str">
        <f t="shared" si="0"/>
        <v>次</v>
      </c>
      <c r="E3" s="1" t="str">
        <f t="shared" si="1"/>
        <v>治疗费</v>
      </c>
    </row>
    <row r="4" spans="1:5">
      <c r="A4" s="1" t="str">
        <f>"中医熏洗"</f>
        <v>中医熏洗</v>
      </c>
      <c r="B4" s="1">
        <v>43</v>
      </c>
      <c r="C4" s="1">
        <v>43</v>
      </c>
      <c r="D4" s="1" t="str">
        <f t="shared" si="0"/>
        <v>次</v>
      </c>
      <c r="E4" s="1" t="str">
        <f t="shared" si="1"/>
        <v>治疗费</v>
      </c>
    </row>
    <row r="5" spans="1:5">
      <c r="A5" s="1" t="str">
        <f>"中医挑治"</f>
        <v>中医挑治</v>
      </c>
      <c r="B5" s="1">
        <v>25</v>
      </c>
      <c r="C5" s="1">
        <v>25</v>
      </c>
      <c r="D5" s="1" t="str">
        <f>"挑治部位"</f>
        <v>挑治部位</v>
      </c>
      <c r="E5" s="1" t="str">
        <f t="shared" si="1"/>
        <v>治疗费</v>
      </c>
    </row>
    <row r="6" spans="1:5">
      <c r="A6" s="1" t="str">
        <f>"中医穴位放血治疗"</f>
        <v>中医穴位放血治疗</v>
      </c>
      <c r="B6" s="1">
        <v>56</v>
      </c>
      <c r="C6" s="1">
        <v>56</v>
      </c>
      <c r="D6" s="1" t="str">
        <f t="shared" si="0"/>
        <v>次</v>
      </c>
      <c r="E6" s="1" t="str">
        <f t="shared" si="1"/>
        <v>治疗费</v>
      </c>
    </row>
    <row r="7" spans="1:5">
      <c r="A7" s="1" t="str">
        <f>"中医穴位放血治疗-甲床放血（加收）"</f>
        <v>中医穴位放血治疗-甲床放血（加收）</v>
      </c>
      <c r="B7" s="1">
        <v>5.6</v>
      </c>
      <c r="C7" s="1">
        <v>5.6</v>
      </c>
      <c r="D7" s="1" t="str">
        <f>"每甲"</f>
        <v>每甲</v>
      </c>
      <c r="E7" s="1" t="str">
        <f t="shared" si="1"/>
        <v>治疗费</v>
      </c>
    </row>
    <row r="8" spans="1:5">
      <c r="A8" s="1" t="str">
        <f>"中医穴位放血治疗-刺络放血（加收）"</f>
        <v>中医穴位放血治疗-刺络放血（加收）</v>
      </c>
      <c r="B8" s="1">
        <v>5.6</v>
      </c>
      <c r="C8" s="1">
        <v>5.6</v>
      </c>
      <c r="D8" s="1" t="str">
        <f t="shared" ref="D8:D23" si="2">"次"</f>
        <v>次</v>
      </c>
      <c r="E8" s="1" t="str">
        <f t="shared" si="1"/>
        <v>治疗费</v>
      </c>
    </row>
    <row r="9" spans="1:5">
      <c r="A9" s="1" t="str">
        <f>"中医刮痧"</f>
        <v>中医刮痧</v>
      </c>
      <c r="B9" s="1">
        <v>79</v>
      </c>
      <c r="C9" s="1">
        <v>79</v>
      </c>
      <c r="D9" s="1" t="str">
        <f t="shared" si="2"/>
        <v>次</v>
      </c>
      <c r="E9" s="1" t="str">
        <f t="shared" si="1"/>
        <v>治疗费</v>
      </c>
    </row>
    <row r="10" spans="1:5">
      <c r="A10" s="1" t="str">
        <f>"悬空灸"</f>
        <v>悬空灸</v>
      </c>
      <c r="B10" s="1">
        <v>46</v>
      </c>
      <c r="C10" s="1">
        <v>46</v>
      </c>
      <c r="D10" s="1" t="str">
        <f t="shared" si="2"/>
        <v>次</v>
      </c>
      <c r="E10" s="1" t="str">
        <f t="shared" si="1"/>
        <v>治疗费</v>
      </c>
    </row>
    <row r="11" spans="1:5">
      <c r="A11" s="1" t="str">
        <f>"直接灸"</f>
        <v>直接灸</v>
      </c>
      <c r="B11" s="1">
        <v>19</v>
      </c>
      <c r="C11" s="1">
        <v>19</v>
      </c>
      <c r="D11" s="1" t="str">
        <f t="shared" si="2"/>
        <v>次</v>
      </c>
      <c r="E11" s="1" t="str">
        <f t="shared" si="1"/>
        <v>治疗费</v>
      </c>
    </row>
    <row r="12" spans="1:5">
      <c r="A12" s="1" t="str">
        <f>"隔物灸"</f>
        <v>隔物灸</v>
      </c>
      <c r="B12" s="1">
        <v>24</v>
      </c>
      <c r="C12" s="1">
        <v>24</v>
      </c>
      <c r="D12" s="1" t="str">
        <f t="shared" si="2"/>
        <v>次</v>
      </c>
      <c r="E12" s="1" t="str">
        <f t="shared" si="1"/>
        <v>治疗费</v>
      </c>
    </row>
    <row r="13" spans="1:5">
      <c r="A13" s="1" t="str">
        <f>"铺灸"</f>
        <v>铺灸</v>
      </c>
      <c r="B13" s="1">
        <v>120</v>
      </c>
      <c r="C13" s="1">
        <v>120</v>
      </c>
      <c r="D13" s="1" t="str">
        <f t="shared" si="2"/>
        <v>次</v>
      </c>
      <c r="E13" s="1" t="str">
        <f t="shared" si="1"/>
        <v>治疗费</v>
      </c>
    </row>
    <row r="14" spans="1:5">
      <c r="A14" s="1" t="str">
        <f>"中医拔罐"</f>
        <v>中医拔罐</v>
      </c>
      <c r="B14" s="1">
        <v>42</v>
      </c>
      <c r="C14" s="1">
        <v>42</v>
      </c>
      <c r="D14" s="1" t="str">
        <f t="shared" si="2"/>
        <v>次</v>
      </c>
      <c r="E14" s="1" t="str">
        <f t="shared" si="1"/>
        <v>治疗费</v>
      </c>
    </row>
    <row r="15" spans="1:5">
      <c r="A15" s="1" t="str">
        <f>"中医拔罐-药物罐（加收）"</f>
        <v>中医拔罐-药物罐（加收）</v>
      </c>
      <c r="B15" s="1">
        <v>4.2</v>
      </c>
      <c r="C15" s="1">
        <v>4.2</v>
      </c>
      <c r="D15" s="1" t="str">
        <f t="shared" si="2"/>
        <v>次</v>
      </c>
      <c r="E15" s="1" t="str">
        <f t="shared" si="1"/>
        <v>治疗费</v>
      </c>
    </row>
    <row r="16" spans="1:5">
      <c r="A16" s="1" t="str">
        <f>"中医拔罐-水罐（加收）"</f>
        <v>中医拔罐-水罐（加收）</v>
      </c>
      <c r="B16" s="1">
        <v>4.2</v>
      </c>
      <c r="C16" s="1">
        <v>4.2</v>
      </c>
      <c r="D16" s="1" t="str">
        <f t="shared" si="2"/>
        <v>次</v>
      </c>
      <c r="E16" s="1" t="str">
        <f t="shared" si="1"/>
        <v>治疗费</v>
      </c>
    </row>
    <row r="17" spans="1:5">
      <c r="A17" s="1" t="str">
        <f>"中医走罐"</f>
        <v>中医走罐</v>
      </c>
      <c r="B17" s="1">
        <v>30</v>
      </c>
      <c r="C17" s="1">
        <v>30</v>
      </c>
      <c r="D17" s="1" t="str">
        <f t="shared" si="2"/>
        <v>次</v>
      </c>
      <c r="E17" s="1" t="str">
        <f t="shared" si="1"/>
        <v>治疗费</v>
      </c>
    </row>
    <row r="18" spans="1:5">
      <c r="A18" s="1" t="str">
        <f>"中医走罐-平衡罐（扩展）"</f>
        <v>中医走罐-平衡罐（扩展）</v>
      </c>
      <c r="B18" s="1">
        <v>30</v>
      </c>
      <c r="C18" s="1">
        <v>30</v>
      </c>
      <c r="D18" s="1" t="str">
        <f t="shared" si="2"/>
        <v>次</v>
      </c>
      <c r="E18" s="1" t="str">
        <f t="shared" si="1"/>
        <v>治疗费</v>
      </c>
    </row>
    <row r="19" spans="1:5">
      <c r="A19" s="1" t="str">
        <f>"中医闪罐"</f>
        <v>中医闪罐</v>
      </c>
      <c r="B19" s="1">
        <v>63</v>
      </c>
      <c r="C19" s="1">
        <v>63</v>
      </c>
      <c r="D19" s="1" t="str">
        <f t="shared" si="2"/>
        <v>次</v>
      </c>
      <c r="E19" s="1" t="str">
        <f t="shared" si="1"/>
        <v>治疗费</v>
      </c>
    </row>
    <row r="20" spans="1:5">
      <c r="A20" s="1" t="str">
        <f>"头面部疾病推拿"</f>
        <v>头面部疾病推拿</v>
      </c>
      <c r="B20" s="1">
        <v>55</v>
      </c>
      <c r="C20" s="1">
        <v>55</v>
      </c>
      <c r="D20" s="1" t="str">
        <f t="shared" si="2"/>
        <v>次</v>
      </c>
      <c r="E20" s="1" t="str">
        <f t="shared" si="1"/>
        <v>治疗费</v>
      </c>
    </row>
    <row r="21" spans="1:5">
      <c r="A21" s="1" t="str">
        <f>"颈部疾病推拿"</f>
        <v>颈部疾病推拿</v>
      </c>
      <c r="B21" s="1">
        <v>54</v>
      </c>
      <c r="C21" s="1">
        <v>54</v>
      </c>
      <c r="D21" s="1" t="str">
        <f t="shared" si="2"/>
        <v>次</v>
      </c>
      <c r="E21" s="1" t="str">
        <f t="shared" si="1"/>
        <v>治疗费</v>
      </c>
    </row>
    <row r="22" spans="1:5">
      <c r="A22" s="1" t="str">
        <f>"脊柱部位疾病推拿"</f>
        <v>脊柱部位疾病推拿</v>
      </c>
      <c r="B22" s="1">
        <v>42</v>
      </c>
      <c r="C22" s="1">
        <v>42</v>
      </c>
      <c r="D22" s="1" t="str">
        <f t="shared" si="2"/>
        <v>次</v>
      </c>
      <c r="E22" s="1" t="str">
        <f t="shared" si="1"/>
        <v>治疗费</v>
      </c>
    </row>
    <row r="23" spans="1:5">
      <c r="A23" s="1" t="str">
        <f>"脊柱部位疾病推按-寰枢关节推拿（加收）"</f>
        <v>脊柱部位疾病推按-寰枢关节推拿（加收）</v>
      </c>
      <c r="B23" s="1">
        <v>12.6</v>
      </c>
      <c r="C23" s="1">
        <v>12.6</v>
      </c>
      <c r="D23" s="1" t="str">
        <f t="shared" si="2"/>
        <v>次</v>
      </c>
      <c r="E23" s="1" t="str">
        <f t="shared" si="1"/>
        <v>治疗费</v>
      </c>
    </row>
    <row r="24" spans="1:5">
      <c r="A24" s="1" t="str">
        <f>"肩部疾病推拿"</f>
        <v>肩部疾病推拿</v>
      </c>
      <c r="B24" s="1">
        <v>42</v>
      </c>
      <c r="C24" s="1">
        <v>42</v>
      </c>
      <c r="D24" s="1" t="str">
        <f>"单侧"</f>
        <v>单侧</v>
      </c>
      <c r="E24" s="1" t="str">
        <f t="shared" si="1"/>
        <v>治疗费</v>
      </c>
    </row>
    <row r="25" spans="1:5">
      <c r="A25" s="1" t="str">
        <f>"背部疾病推拿"</f>
        <v>背部疾病推拿</v>
      </c>
      <c r="B25" s="1">
        <v>81</v>
      </c>
      <c r="C25" s="1">
        <v>81</v>
      </c>
      <c r="D25" s="1" t="str">
        <f t="shared" ref="D25:D27" si="3">"次"</f>
        <v>次</v>
      </c>
      <c r="E25" s="1" t="str">
        <f t="shared" si="1"/>
        <v>治疗费</v>
      </c>
    </row>
    <row r="26" spans="1:5">
      <c r="A26" s="1" t="str">
        <f>"腰部疾病推拿"</f>
        <v>腰部疾病推拿</v>
      </c>
      <c r="B26" s="1">
        <v>81</v>
      </c>
      <c r="C26" s="1">
        <v>81</v>
      </c>
      <c r="D26" s="1" t="str">
        <f t="shared" si="3"/>
        <v>次</v>
      </c>
      <c r="E26" s="1" t="str">
        <f t="shared" si="1"/>
        <v>治疗费</v>
      </c>
    </row>
    <row r="27" spans="1:5">
      <c r="A27" s="1" t="str">
        <f>"髋骶部疾病推拿"</f>
        <v>髋骶部疾病推拿</v>
      </c>
      <c r="B27" s="1">
        <v>81</v>
      </c>
      <c r="C27" s="1">
        <v>81</v>
      </c>
      <c r="D27" s="1" t="str">
        <f t="shared" si="3"/>
        <v>次</v>
      </c>
      <c r="E27" s="1" t="str">
        <f t="shared" si="1"/>
        <v>治疗费</v>
      </c>
    </row>
    <row r="28" spans="1:5">
      <c r="A28" s="1" t="str">
        <f>"四肢部位疾病推拿"</f>
        <v>四肢部位疾病推拿</v>
      </c>
      <c r="B28" s="1">
        <v>42</v>
      </c>
      <c r="C28" s="1">
        <v>42</v>
      </c>
      <c r="D28" s="1" t="str">
        <f>"单肢"</f>
        <v>单肢</v>
      </c>
      <c r="E28" s="1" t="str">
        <f t="shared" si="1"/>
        <v>治疗费</v>
      </c>
    </row>
    <row r="29" spans="1:5">
      <c r="A29" s="1" t="str">
        <f>"脏腑疾病推拿"</f>
        <v>脏腑疾病推拿</v>
      </c>
      <c r="B29" s="1">
        <v>49</v>
      </c>
      <c r="C29" s="1">
        <v>49</v>
      </c>
      <c r="D29" s="1" t="str">
        <f t="shared" ref="D29:D33" si="4">"次"</f>
        <v>次</v>
      </c>
      <c r="E29" s="1" t="str">
        <f t="shared" si="1"/>
        <v>治疗费</v>
      </c>
    </row>
    <row r="30" spans="1:5">
      <c r="A30" s="1" t="str">
        <f>"乳房疾病推拿"</f>
        <v>乳房疾病推拿</v>
      </c>
      <c r="B30" s="1">
        <v>81</v>
      </c>
      <c r="C30" s="1">
        <v>81</v>
      </c>
      <c r="D30" s="1" t="str">
        <f>"单侧"</f>
        <v>单侧</v>
      </c>
      <c r="E30" s="1" t="str">
        <f t="shared" si="1"/>
        <v>治疗费</v>
      </c>
    </row>
    <row r="31" spans="1:5">
      <c r="A31" s="1" t="str">
        <f>"中枢神经系统疾病推拿"</f>
        <v>中枢神经系统疾病推拿</v>
      </c>
      <c r="B31" s="1">
        <v>55</v>
      </c>
      <c r="C31" s="1">
        <v>55</v>
      </c>
      <c r="D31" s="1" t="str">
        <f t="shared" si="4"/>
        <v>次</v>
      </c>
      <c r="E31" s="1" t="str">
        <f t="shared" si="1"/>
        <v>治疗费</v>
      </c>
    </row>
    <row r="32" spans="1:5">
      <c r="A32" s="1" t="str">
        <f>"方便门诊费"</f>
        <v>方便门诊费</v>
      </c>
      <c r="B32" s="1">
        <v>1</v>
      </c>
      <c r="C32" s="1">
        <v>1</v>
      </c>
      <c r="D32" s="1" t="str">
        <f>"每次"</f>
        <v>每次</v>
      </c>
      <c r="E32" s="1" t="str">
        <f>"诊查费"</f>
        <v>诊查费</v>
      </c>
    </row>
    <row r="33" spans="1:5">
      <c r="A33" s="1" t="str">
        <f>"院前急救费"</f>
        <v>院前急救费</v>
      </c>
      <c r="B33" s="1">
        <v>46</v>
      </c>
      <c r="C33" s="1">
        <v>46</v>
      </c>
      <c r="D33" s="1" t="str">
        <f t="shared" si="4"/>
        <v>次</v>
      </c>
      <c r="E33" s="1" t="str">
        <f>"治疗费"</f>
        <v>治疗费</v>
      </c>
    </row>
    <row r="34" spans="1:5">
      <c r="A34" s="1" t="str">
        <f>"体检费"</f>
        <v>体检费</v>
      </c>
      <c r="B34" s="1">
        <v>15</v>
      </c>
      <c r="C34" s="1">
        <v>15</v>
      </c>
      <c r="D34" s="1" t="str">
        <f>"每次"</f>
        <v>每次</v>
      </c>
      <c r="E34" s="1" t="str">
        <f t="shared" ref="E34:E36" si="5">"体检费"</f>
        <v>体检费</v>
      </c>
    </row>
    <row r="35" spans="1:5">
      <c r="A35" s="1" t="str">
        <f>"驾驶员体检"</f>
        <v>驾驶员体检</v>
      </c>
      <c r="B35" s="1">
        <v>8</v>
      </c>
      <c r="C35" s="1">
        <v>8</v>
      </c>
      <c r="D35" s="1" t="str">
        <f>"次"</f>
        <v>次</v>
      </c>
      <c r="E35" s="1" t="str">
        <f t="shared" si="5"/>
        <v>体检费</v>
      </c>
    </row>
    <row r="36" spans="1:5">
      <c r="A36" s="1" t="str">
        <f>"体检费（相关行业从业人员体检）"</f>
        <v>体检费（相关行业从业人员体检）</v>
      </c>
      <c r="B36" s="1">
        <v>70</v>
      </c>
      <c r="C36" s="1">
        <v>70</v>
      </c>
      <c r="D36" s="1" t="str">
        <f>"人"</f>
        <v>人</v>
      </c>
      <c r="E36" s="1" t="str">
        <f t="shared" si="5"/>
        <v>体检费</v>
      </c>
    </row>
    <row r="37" spans="1:5">
      <c r="A37" s="1" t="str">
        <f>"急诊观察床位费"</f>
        <v>急诊观察床位费</v>
      </c>
      <c r="B37" s="1">
        <v>15</v>
      </c>
      <c r="C37" s="1">
        <v>100</v>
      </c>
      <c r="D37" s="1" t="str">
        <f>"日"</f>
        <v>日</v>
      </c>
      <c r="E37" s="1" t="str">
        <f>"床位费"</f>
        <v>床位费</v>
      </c>
    </row>
    <row r="38" spans="1:5">
      <c r="A38" s="1" t="str">
        <f>"氧气吸入"</f>
        <v>氧气吸入</v>
      </c>
      <c r="B38" s="1">
        <v>4</v>
      </c>
      <c r="C38" s="1">
        <v>4</v>
      </c>
      <c r="D38" s="1" t="str">
        <f>"小时"</f>
        <v>小时</v>
      </c>
      <c r="E38" s="1" t="str">
        <f>"输氧费"</f>
        <v>输氧费</v>
      </c>
    </row>
    <row r="39" spans="1:5">
      <c r="A39" s="1" t="str">
        <f>"一次性使用鼻氧管"</f>
        <v>一次性使用鼻氧管</v>
      </c>
      <c r="B39" s="1">
        <v>2.5</v>
      </c>
      <c r="C39" s="1">
        <v>2.66</v>
      </c>
      <c r="D39" s="1" t="str">
        <f>"根"</f>
        <v>根</v>
      </c>
      <c r="E39" s="1" t="str">
        <f>"治疗费(含材料费)"</f>
        <v>治疗费(含材料费)</v>
      </c>
    </row>
    <row r="40" spans="1:5">
      <c r="A40" s="1" t="str">
        <f>"氧气吸入（持续吸氧）"</f>
        <v>氧气吸入（持续吸氧）</v>
      </c>
      <c r="B40" s="1">
        <v>65</v>
      </c>
      <c r="C40" s="1">
        <v>65</v>
      </c>
      <c r="D40" s="1" t="str">
        <f>"日"</f>
        <v>日</v>
      </c>
      <c r="E40" s="1" t="str">
        <f>"输氧费"</f>
        <v>输氧费</v>
      </c>
    </row>
    <row r="41" spans="1:5">
      <c r="A41" s="1" t="str">
        <f>"大清创缝合"</f>
        <v>大清创缝合</v>
      </c>
      <c r="B41" s="1">
        <v>170</v>
      </c>
      <c r="C41" s="1">
        <v>170</v>
      </c>
      <c r="D41" s="1" t="str">
        <f t="shared" ref="D41:D46" si="6">"次"</f>
        <v>次</v>
      </c>
      <c r="E41" s="1" t="str">
        <f t="shared" ref="E41:E46" si="7">"手术费"</f>
        <v>手术费</v>
      </c>
    </row>
    <row r="42" spans="1:5">
      <c r="A42" s="1" t="str">
        <f>"大清创"</f>
        <v>大清创</v>
      </c>
      <c r="B42" s="1">
        <v>70</v>
      </c>
      <c r="C42" s="1">
        <v>70</v>
      </c>
      <c r="D42" s="1" t="str">
        <f t="shared" si="6"/>
        <v>次</v>
      </c>
      <c r="E42" s="1" t="str">
        <f>"治疗费"</f>
        <v>治疗费</v>
      </c>
    </row>
    <row r="43" spans="1:5">
      <c r="A43" s="1" t="str">
        <f>"中清创缝合"</f>
        <v>中清创缝合</v>
      </c>
      <c r="B43" s="1">
        <v>85</v>
      </c>
      <c r="C43" s="1">
        <v>85</v>
      </c>
      <c r="D43" s="1" t="str">
        <f t="shared" si="6"/>
        <v>次</v>
      </c>
      <c r="E43" s="1" t="str">
        <f>"治疗费"</f>
        <v>治疗费</v>
      </c>
    </row>
    <row r="44" spans="1:5">
      <c r="A44" s="1" t="str">
        <f>"中清创"</f>
        <v>中清创</v>
      </c>
      <c r="B44" s="1">
        <v>60</v>
      </c>
      <c r="C44" s="1">
        <v>60</v>
      </c>
      <c r="D44" s="1" t="str">
        <f t="shared" si="6"/>
        <v>次</v>
      </c>
      <c r="E44" s="1" t="str">
        <f t="shared" si="7"/>
        <v>手术费</v>
      </c>
    </row>
    <row r="45" spans="1:5">
      <c r="A45" s="1" t="str">
        <f>"小清创缝合"</f>
        <v>小清创缝合</v>
      </c>
      <c r="B45" s="1">
        <v>65</v>
      </c>
      <c r="C45" s="1">
        <v>65</v>
      </c>
      <c r="D45" s="1" t="str">
        <f t="shared" si="6"/>
        <v>次</v>
      </c>
      <c r="E45" s="1" t="str">
        <f t="shared" si="7"/>
        <v>手术费</v>
      </c>
    </row>
    <row r="46" spans="1:5">
      <c r="A46" s="1" t="str">
        <f>"小清创"</f>
        <v>小清创</v>
      </c>
      <c r="B46" s="1">
        <v>35</v>
      </c>
      <c r="C46" s="1">
        <v>35</v>
      </c>
      <c r="D46" s="1" t="str">
        <f t="shared" si="6"/>
        <v>次</v>
      </c>
      <c r="E46" s="1" t="str">
        <f t="shared" si="7"/>
        <v>手术费</v>
      </c>
    </row>
    <row r="47" spans="1:5">
      <c r="A47" s="1" t="str">
        <f>"特大换药"</f>
        <v>特大换药</v>
      </c>
      <c r="B47" s="1">
        <v>39</v>
      </c>
      <c r="C47" s="1">
        <v>39</v>
      </c>
      <c r="D47" s="1" t="str">
        <f t="shared" ref="D47:D52" si="8">"次"</f>
        <v>次</v>
      </c>
      <c r="E47" s="1" t="str">
        <f t="shared" ref="E47:E52" si="9">"治疗费"</f>
        <v>治疗费</v>
      </c>
    </row>
    <row r="48" spans="1:5">
      <c r="A48" s="1" t="str">
        <f>"大换药"</f>
        <v>大换药</v>
      </c>
      <c r="B48" s="1">
        <v>26</v>
      </c>
      <c r="C48" s="1">
        <v>26</v>
      </c>
      <c r="D48" s="1" t="str">
        <f t="shared" si="8"/>
        <v>次</v>
      </c>
      <c r="E48" s="1" t="str">
        <f t="shared" si="9"/>
        <v>治疗费</v>
      </c>
    </row>
    <row r="49" spans="1:5">
      <c r="A49" s="1" t="str">
        <f>"中换药"</f>
        <v>中换药</v>
      </c>
      <c r="B49" s="1">
        <v>13</v>
      </c>
      <c r="C49" s="1">
        <v>13</v>
      </c>
      <c r="D49" s="1" t="str">
        <f t="shared" si="8"/>
        <v>次</v>
      </c>
      <c r="E49" s="1" t="str">
        <f t="shared" si="9"/>
        <v>治疗费</v>
      </c>
    </row>
    <row r="50" spans="1:5">
      <c r="A50" s="1" t="str">
        <f>"小换药"</f>
        <v>小换药</v>
      </c>
      <c r="B50" s="1">
        <v>7</v>
      </c>
      <c r="C50" s="1">
        <v>7</v>
      </c>
      <c r="D50" s="1" t="str">
        <f t="shared" si="8"/>
        <v>次</v>
      </c>
      <c r="E50" s="1" t="str">
        <f t="shared" si="9"/>
        <v>治疗费</v>
      </c>
    </row>
    <row r="51" spans="1:5">
      <c r="A51" s="1" t="str">
        <f>"小换药（门诊拆线）"</f>
        <v>小换药（门诊拆线）</v>
      </c>
      <c r="B51" s="1">
        <v>7</v>
      </c>
      <c r="C51" s="1">
        <v>7</v>
      </c>
      <c r="D51" s="1" t="str">
        <f t="shared" si="8"/>
        <v>次</v>
      </c>
      <c r="E51" s="1" t="str">
        <f t="shared" si="9"/>
        <v>治疗费</v>
      </c>
    </row>
    <row r="52" spans="1:5">
      <c r="A52" s="1" t="str">
        <f>"雾化吸入"</f>
        <v>雾化吸入</v>
      </c>
      <c r="B52" s="1">
        <v>7</v>
      </c>
      <c r="C52" s="1">
        <v>7</v>
      </c>
      <c r="D52" s="1" t="str">
        <f t="shared" si="8"/>
        <v>次</v>
      </c>
      <c r="E52" s="1" t="str">
        <f t="shared" si="9"/>
        <v>治疗费</v>
      </c>
    </row>
    <row r="53" spans="1:5">
      <c r="A53" s="1" t="str">
        <f>"导尿"</f>
        <v>导尿</v>
      </c>
      <c r="B53" s="1">
        <v>5.2</v>
      </c>
      <c r="C53" s="1">
        <v>5.2</v>
      </c>
      <c r="D53" s="1" t="str">
        <f>"次"</f>
        <v>次</v>
      </c>
      <c r="E53" s="1" t="str">
        <f>"治疗费"</f>
        <v>治疗费</v>
      </c>
    </row>
    <row r="54" spans="1:5">
      <c r="A54" s="1" t="str">
        <f>"出诊费"</f>
        <v>出诊费</v>
      </c>
      <c r="B54" s="1">
        <v>40</v>
      </c>
      <c r="C54" s="1">
        <v>42</v>
      </c>
      <c r="D54" s="1" t="str">
        <f>"次"</f>
        <v>次</v>
      </c>
      <c r="E54" s="1" t="str">
        <f>"服务收入"</f>
        <v>服务收入</v>
      </c>
    </row>
    <row r="55" spans="1:5">
      <c r="A55" s="1" t="str">
        <f>"出诊费（副高以上职称）"</f>
        <v>出诊费（副高以上职称）</v>
      </c>
      <c r="B55" s="1">
        <v>55</v>
      </c>
      <c r="C55" s="1">
        <v>57</v>
      </c>
      <c r="D55" s="1" t="str">
        <f>"次"</f>
        <v>次</v>
      </c>
      <c r="E55" s="1" t="str">
        <f>"服务收入"</f>
        <v>服务收入</v>
      </c>
    </row>
    <row r="56" spans="1:5">
      <c r="A56" s="1" t="str">
        <f>"一般诊疗费"</f>
        <v>一般诊疗费</v>
      </c>
      <c r="B56" s="1">
        <v>10</v>
      </c>
      <c r="C56" s="1">
        <v>10</v>
      </c>
      <c r="D56" s="1" t="str">
        <f>"次"</f>
        <v>次</v>
      </c>
      <c r="E56" s="1" t="str">
        <f>"一般诊疗费"</f>
        <v>一般诊疗费</v>
      </c>
    </row>
    <row r="57" spans="1:5">
      <c r="A57" s="1" t="str">
        <f>"主任医师一般诊疗费"</f>
        <v>主任医师一般诊疗费</v>
      </c>
      <c r="B57" s="1">
        <v>23</v>
      </c>
      <c r="C57" s="1">
        <v>23</v>
      </c>
      <c r="D57" s="1" t="str">
        <f>"次"</f>
        <v>次</v>
      </c>
      <c r="E57" s="1" t="str">
        <f>"诊查费"</f>
        <v>诊查费</v>
      </c>
    </row>
    <row r="58" spans="1:5">
      <c r="A58" s="1" t="str">
        <f>"副主任医师一般诊疗费"</f>
        <v>副主任医师一般诊疗费</v>
      </c>
      <c r="B58" s="1">
        <v>14</v>
      </c>
      <c r="C58" s="1">
        <v>14</v>
      </c>
      <c r="D58" s="1" t="str">
        <f>"每次"</f>
        <v>每次</v>
      </c>
      <c r="E58" s="1" t="str">
        <f>"诊查费"</f>
        <v>诊查费</v>
      </c>
    </row>
    <row r="59" spans="1:5">
      <c r="A59" s="1" t="str">
        <f>"牙片"</f>
        <v>牙片</v>
      </c>
      <c r="B59" s="1">
        <v>3</v>
      </c>
      <c r="C59" s="1">
        <v>3</v>
      </c>
      <c r="D59" s="1" t="str">
        <f t="shared" ref="D59:D62" si="10">"片数"</f>
        <v>片数</v>
      </c>
      <c r="E59" s="1" t="str">
        <f t="shared" ref="E59:E63" si="11">"放射费"</f>
        <v>放射费</v>
      </c>
    </row>
    <row r="60" spans="1:5">
      <c r="A60" s="1" t="str">
        <f>"使用感绿片加收牙片"</f>
        <v>使用感绿片加收牙片</v>
      </c>
      <c r="B60" s="1">
        <v>2</v>
      </c>
      <c r="C60" s="1">
        <v>2</v>
      </c>
      <c r="D60" s="1" t="str">
        <f t="shared" si="10"/>
        <v>片数</v>
      </c>
      <c r="E60" s="1" t="str">
        <f t="shared" si="11"/>
        <v>放射费</v>
      </c>
    </row>
    <row r="61" spans="1:5">
      <c r="A61" s="1" t="str">
        <f>"曲面体层摄影(颌全景摄影)"</f>
        <v>曲面体层摄影(颌全景摄影)</v>
      </c>
      <c r="B61" s="1">
        <v>50</v>
      </c>
      <c r="C61" s="1">
        <v>50</v>
      </c>
      <c r="D61" s="1" t="str">
        <f t="shared" si="10"/>
        <v>片数</v>
      </c>
      <c r="E61" s="1" t="str">
        <f t="shared" si="11"/>
        <v>放射费</v>
      </c>
    </row>
    <row r="62" spans="1:5">
      <c r="A62" s="1" t="str">
        <f>"头颅定位测量摄影"</f>
        <v>头颅定位测量摄影</v>
      </c>
      <c r="B62" s="1">
        <v>40</v>
      </c>
      <c r="C62" s="1">
        <v>40</v>
      </c>
      <c r="D62" s="1" t="str">
        <f t="shared" si="10"/>
        <v>片数</v>
      </c>
      <c r="E62" s="1" t="str">
        <f t="shared" si="11"/>
        <v>放射费</v>
      </c>
    </row>
    <row r="63" spans="1:5">
      <c r="A63" s="1" t="str">
        <f>"数字化摄影(DR)"</f>
        <v>数字化摄影(DR)</v>
      </c>
      <c r="B63" s="1">
        <v>60</v>
      </c>
      <c r="C63" s="1">
        <v>200</v>
      </c>
      <c r="D63" s="1" t="str">
        <f t="shared" ref="D63:D68" si="12">"次"</f>
        <v>次</v>
      </c>
      <c r="E63" s="1" t="str">
        <f t="shared" si="11"/>
        <v>放射费</v>
      </c>
    </row>
    <row r="64" spans="1:5">
      <c r="A64" s="1" t="str">
        <f>"数字化摄影(DR)(家政A)"</f>
        <v>数字化摄影(DR)(家政A)</v>
      </c>
      <c r="B64" s="1">
        <v>42</v>
      </c>
      <c r="C64" s="1">
        <v>42</v>
      </c>
      <c r="D64" s="1" t="str">
        <f t="shared" si="12"/>
        <v>次</v>
      </c>
      <c r="E64" s="1" t="str">
        <f t="shared" ref="E64:E68" si="13">"放射费"</f>
        <v>放射费</v>
      </c>
    </row>
    <row r="65" spans="1:5">
      <c r="A65" s="1" t="str">
        <f>"数字化摄影(DR)(家政B)"</f>
        <v>数字化摄影(DR)(家政B)</v>
      </c>
      <c r="B65" s="1">
        <v>37</v>
      </c>
      <c r="C65" s="1">
        <v>37</v>
      </c>
      <c r="D65" s="1" t="str">
        <f t="shared" si="12"/>
        <v>次</v>
      </c>
      <c r="E65" s="1" t="str">
        <f t="shared" si="13"/>
        <v>放射费</v>
      </c>
    </row>
    <row r="66" spans="1:5">
      <c r="A66" s="1" t="str">
        <f>"数字化摄影(DR)(家政C)"</f>
        <v>数字化摄影(DR)(家政C)</v>
      </c>
      <c r="B66" s="1">
        <v>38</v>
      </c>
      <c r="C66" s="1">
        <v>38</v>
      </c>
      <c r="D66" s="1" t="str">
        <f t="shared" si="12"/>
        <v>次</v>
      </c>
      <c r="E66" s="1" t="str">
        <f t="shared" si="13"/>
        <v>放射费</v>
      </c>
    </row>
    <row r="67" spans="1:5">
      <c r="A67" s="1" t="str">
        <f>"数字化摄影(DR)(家政D)"</f>
        <v>数字化摄影(DR)(家政D)</v>
      </c>
      <c r="B67" s="1">
        <v>53</v>
      </c>
      <c r="C67" s="1">
        <v>53</v>
      </c>
      <c r="D67" s="1" t="str">
        <f t="shared" si="12"/>
        <v>次</v>
      </c>
      <c r="E67" s="1" t="str">
        <f t="shared" si="13"/>
        <v>放射费</v>
      </c>
    </row>
    <row r="68" spans="1:5">
      <c r="A68" s="1" t="str">
        <f>"数字化摄影(DR)从第二次曝光开始加收"</f>
        <v>数字化摄影(DR)从第二次曝光开始加收</v>
      </c>
      <c r="B68" s="1">
        <v>30</v>
      </c>
      <c r="C68" s="1">
        <v>30</v>
      </c>
      <c r="D68" s="1" t="str">
        <f t="shared" si="12"/>
        <v>次</v>
      </c>
      <c r="E68" s="1" t="str">
        <f t="shared" si="13"/>
        <v>放射费</v>
      </c>
    </row>
    <row r="69" spans="1:5">
      <c r="A69" s="1" t="str">
        <f>"CT平扫(颞下颌关节)"</f>
        <v>CT平扫(颞下颌关节)</v>
      </c>
      <c r="B69" s="1">
        <v>50</v>
      </c>
      <c r="C69" s="1">
        <v>50</v>
      </c>
      <c r="D69" s="1" t="str">
        <f t="shared" ref="D69:D81" si="14">"每部位"</f>
        <v>每部位</v>
      </c>
      <c r="E69" s="1" t="str">
        <f t="shared" ref="E69:E83" si="15">"CT费"</f>
        <v>CT费</v>
      </c>
    </row>
    <row r="70" spans="1:5">
      <c r="A70" s="1" t="str">
        <f>"CT平扫(上颌骨)"</f>
        <v>CT平扫(上颌骨)</v>
      </c>
      <c r="B70" s="1">
        <v>50</v>
      </c>
      <c r="C70" s="1">
        <v>50</v>
      </c>
      <c r="D70" s="1" t="str">
        <f t="shared" si="14"/>
        <v>每部位</v>
      </c>
      <c r="E70" s="1" t="str">
        <f t="shared" si="15"/>
        <v>CT费</v>
      </c>
    </row>
    <row r="71" spans="1:5">
      <c r="A71" s="1" t="str">
        <f>"CT平扫（下颌骨）"</f>
        <v>CT平扫（下颌骨）</v>
      </c>
      <c r="B71" s="1">
        <v>50</v>
      </c>
      <c r="C71" s="1">
        <v>50</v>
      </c>
      <c r="D71" s="1" t="str">
        <f t="shared" si="14"/>
        <v>每部位</v>
      </c>
      <c r="E71" s="1" t="str">
        <f t="shared" si="15"/>
        <v>CT费</v>
      </c>
    </row>
    <row r="72" spans="1:5">
      <c r="A72" s="1" t="str">
        <f>"多排螺旋CT平扫（眼眶）"</f>
        <v>多排螺旋CT平扫（眼眶）</v>
      </c>
      <c r="B72" s="1">
        <v>140</v>
      </c>
      <c r="C72" s="1">
        <v>140</v>
      </c>
      <c r="D72" s="1" t="str">
        <f t="shared" si="14"/>
        <v>每部位</v>
      </c>
      <c r="E72" s="1" t="str">
        <f t="shared" si="15"/>
        <v>CT费</v>
      </c>
    </row>
    <row r="73" spans="1:5">
      <c r="A73" s="1" t="str">
        <f>"多排螺旋CT平扫（腕关节）"</f>
        <v>多排螺旋CT平扫（腕关节）</v>
      </c>
      <c r="B73" s="1">
        <v>140</v>
      </c>
      <c r="C73" s="1">
        <v>140</v>
      </c>
      <c r="D73" s="1" t="str">
        <f t="shared" si="14"/>
        <v>每部位</v>
      </c>
      <c r="E73" s="1" t="str">
        <f t="shared" si="15"/>
        <v>CT费</v>
      </c>
    </row>
    <row r="74" spans="1:5">
      <c r="A74" s="1" t="str">
        <f>"多排螺旋CT平扫（踝关节）"</f>
        <v>多排螺旋CT平扫（踝关节）</v>
      </c>
      <c r="B74" s="1">
        <v>140</v>
      </c>
      <c r="C74" s="1">
        <v>140</v>
      </c>
      <c r="D74" s="1" t="str">
        <f t="shared" si="14"/>
        <v>每部位</v>
      </c>
      <c r="E74" s="1" t="str">
        <f t="shared" si="15"/>
        <v>CT费</v>
      </c>
    </row>
    <row r="75" spans="1:5">
      <c r="A75" s="1" t="str">
        <f>"多排螺旋CT平扫（手）"</f>
        <v>多排螺旋CT平扫（手）</v>
      </c>
      <c r="B75" s="1">
        <v>140</v>
      </c>
      <c r="C75" s="1">
        <v>140</v>
      </c>
      <c r="D75" s="1" t="str">
        <f t="shared" si="14"/>
        <v>每部位</v>
      </c>
      <c r="E75" s="1" t="str">
        <f t="shared" si="15"/>
        <v>CT费</v>
      </c>
    </row>
    <row r="76" spans="1:5">
      <c r="A76" s="1" t="str">
        <f>"多排螺旋CT平扫（鼻咽）"</f>
        <v>多排螺旋CT平扫（鼻咽）</v>
      </c>
      <c r="B76" s="1">
        <v>140</v>
      </c>
      <c r="C76" s="1">
        <v>140</v>
      </c>
      <c r="D76" s="1" t="str">
        <f t="shared" si="14"/>
        <v>每部位</v>
      </c>
      <c r="E76" s="1" t="str">
        <f t="shared" si="15"/>
        <v>CT费</v>
      </c>
    </row>
    <row r="77" spans="1:5">
      <c r="A77" s="1" t="str">
        <f>"多排螺旋CT平扫（甲状腺）"</f>
        <v>多排螺旋CT平扫（甲状腺）</v>
      </c>
      <c r="B77" s="1">
        <v>140</v>
      </c>
      <c r="C77" s="1">
        <v>140</v>
      </c>
      <c r="D77" s="1" t="str">
        <f t="shared" si="14"/>
        <v>每部位</v>
      </c>
      <c r="E77" s="1" t="str">
        <f t="shared" si="15"/>
        <v>CT费</v>
      </c>
    </row>
    <row r="78" spans="1:5">
      <c r="A78" s="1" t="str">
        <f>"多排螺旋CT平扫（副鼻窦）"</f>
        <v>多排螺旋CT平扫（副鼻窦）</v>
      </c>
      <c r="B78" s="1">
        <v>140</v>
      </c>
      <c r="C78" s="1">
        <v>140</v>
      </c>
      <c r="D78" s="1" t="str">
        <f t="shared" si="14"/>
        <v>每部位</v>
      </c>
      <c r="E78" s="1" t="str">
        <f t="shared" si="15"/>
        <v>CT费</v>
      </c>
    </row>
    <row r="79" spans="1:5">
      <c r="A79" s="1" t="str">
        <f>"多排螺旋CT平扫（颞下颌关节）"</f>
        <v>多排螺旋CT平扫（颞下颌关节）</v>
      </c>
      <c r="B79" s="1">
        <v>140</v>
      </c>
      <c r="C79" s="1">
        <v>140</v>
      </c>
      <c r="D79" s="1" t="str">
        <f t="shared" si="14"/>
        <v>每部位</v>
      </c>
      <c r="E79" s="1" t="str">
        <f t="shared" si="15"/>
        <v>CT费</v>
      </c>
    </row>
    <row r="80" spans="1:5">
      <c r="A80" s="1" t="str">
        <f>"多排螺旋CT平扫（盆腔）"</f>
        <v>多排螺旋CT平扫（盆腔）</v>
      </c>
      <c r="B80" s="1">
        <v>140</v>
      </c>
      <c r="C80" s="1">
        <v>140</v>
      </c>
      <c r="D80" s="1" t="str">
        <f t="shared" si="14"/>
        <v>每部位</v>
      </c>
      <c r="E80" s="1" t="str">
        <f t="shared" si="15"/>
        <v>CT费</v>
      </c>
    </row>
    <row r="81" spans="1:5">
      <c r="A81" s="1" t="str">
        <f>"多排螺旋CT平扫（双膝关节）"</f>
        <v>多排螺旋CT平扫（双膝关节）</v>
      </c>
      <c r="B81" s="1">
        <v>140</v>
      </c>
      <c r="C81" s="1">
        <v>140</v>
      </c>
      <c r="D81" s="1" t="str">
        <f t="shared" si="14"/>
        <v>每部位</v>
      </c>
      <c r="E81" s="1" t="str">
        <f t="shared" si="15"/>
        <v>CT费</v>
      </c>
    </row>
    <row r="82" spans="1:5">
      <c r="A82" s="1" t="str">
        <f>"多排螺旋CT平扫（椎体）"</f>
        <v>多排螺旋CT平扫（椎体）</v>
      </c>
      <c r="B82" s="1">
        <v>140</v>
      </c>
      <c r="C82" s="1">
        <v>140</v>
      </c>
      <c r="D82" s="1" t="str">
        <f>"三个"</f>
        <v>三个</v>
      </c>
      <c r="E82" s="1" t="str">
        <f t="shared" si="15"/>
        <v>CT费</v>
      </c>
    </row>
    <row r="83" spans="1:5">
      <c r="A83" s="1" t="str">
        <f>"CT成象(血管、胆囊、CTVE、心脑、骨三维成象)"</f>
        <v>CT成象(血管、胆囊、CTVE、心脑、骨三维成象)</v>
      </c>
      <c r="B83" s="1">
        <v>55</v>
      </c>
      <c r="C83" s="1">
        <v>55</v>
      </c>
      <c r="D83" s="1" t="str">
        <f t="shared" ref="D83:D86" si="16">"次"</f>
        <v>次</v>
      </c>
      <c r="E83" s="1" t="str">
        <f t="shared" si="15"/>
        <v>CT费</v>
      </c>
    </row>
    <row r="84" spans="1:5">
      <c r="A84" s="1" t="str">
        <f>"经阴道B超检查"</f>
        <v>经阴道B超检查</v>
      </c>
      <c r="B84" s="1">
        <v>35</v>
      </c>
      <c r="C84" s="1">
        <v>35</v>
      </c>
      <c r="D84" s="1" t="str">
        <f t="shared" si="16"/>
        <v>次</v>
      </c>
      <c r="E84" s="1" t="str">
        <f>"超声费"</f>
        <v>超声费</v>
      </c>
    </row>
    <row r="85" spans="1:5">
      <c r="A85" s="1" t="str">
        <f>"胆囊和胆道收缩功能检查"</f>
        <v>胆囊和胆道收缩功能检查</v>
      </c>
      <c r="B85" s="1">
        <v>25</v>
      </c>
      <c r="C85" s="1">
        <v>25</v>
      </c>
      <c r="D85" s="1" t="str">
        <f t="shared" si="16"/>
        <v>次</v>
      </c>
      <c r="E85" s="1" t="str">
        <f>"超声费"</f>
        <v>超声费</v>
      </c>
    </row>
    <row r="86" spans="1:5">
      <c r="A86" s="1" t="str">
        <f>"膀胱残余尿测定"</f>
        <v>膀胱残余尿测定</v>
      </c>
      <c r="B86" s="1">
        <v>25</v>
      </c>
      <c r="C86" s="1">
        <v>25</v>
      </c>
      <c r="D86" s="1" t="str">
        <f t="shared" si="16"/>
        <v>次</v>
      </c>
      <c r="E86" s="1" t="str">
        <f t="shared" ref="E86:E97" si="17">"彩超费"</f>
        <v>彩超费</v>
      </c>
    </row>
    <row r="87" spans="1:5">
      <c r="A87" s="1" t="str">
        <f>"彩色多普勒超声常规检查"</f>
        <v>彩色多普勒超声常规检查</v>
      </c>
      <c r="B87" s="1">
        <v>50</v>
      </c>
      <c r="C87" s="1">
        <v>50</v>
      </c>
      <c r="D87" s="1" t="str">
        <f t="shared" ref="D87:D93" si="18">"部位"</f>
        <v>部位</v>
      </c>
      <c r="E87" s="1" t="str">
        <f t="shared" si="17"/>
        <v>彩超费</v>
      </c>
    </row>
    <row r="88" spans="1:5">
      <c r="A88" s="1" t="str">
        <f>"彩色多普勒超声常规检查（妇科）"</f>
        <v>彩色多普勒超声常规检查（妇科）</v>
      </c>
      <c r="B88" s="1">
        <v>50</v>
      </c>
      <c r="C88" s="1">
        <v>60</v>
      </c>
      <c r="D88" s="1" t="str">
        <f t="shared" si="18"/>
        <v>部位</v>
      </c>
      <c r="E88" s="1" t="str">
        <f t="shared" si="17"/>
        <v>彩超费</v>
      </c>
    </row>
    <row r="89" spans="1:5">
      <c r="A89" s="1" t="str">
        <f>"彩色多普勒超声常规检查（腹部）"</f>
        <v>彩色多普勒超声常规检查（腹部）</v>
      </c>
      <c r="B89" s="1">
        <v>50</v>
      </c>
      <c r="C89" s="1">
        <v>60</v>
      </c>
      <c r="D89" s="1" t="str">
        <f t="shared" si="18"/>
        <v>部位</v>
      </c>
      <c r="E89" s="1" t="str">
        <f t="shared" si="17"/>
        <v>彩超费</v>
      </c>
    </row>
    <row r="90" spans="1:5">
      <c r="A90" s="1" t="str">
        <f>"彩色多普勒超声常规检查(泌尿系）"</f>
        <v>彩色多普勒超声常规检查(泌尿系）</v>
      </c>
      <c r="B90" s="1">
        <v>50</v>
      </c>
      <c r="C90" s="1">
        <v>60</v>
      </c>
      <c r="D90" s="1" t="str">
        <f t="shared" si="18"/>
        <v>部位</v>
      </c>
      <c r="E90" s="1" t="str">
        <f t="shared" si="17"/>
        <v>彩超费</v>
      </c>
    </row>
    <row r="91" spans="1:5">
      <c r="A91" s="1" t="str">
        <f>"彩色多普勒超声常规检查（胃肠系）"</f>
        <v>彩色多普勒超声常规检查（胃肠系）</v>
      </c>
      <c r="B91" s="1">
        <v>50</v>
      </c>
      <c r="C91" s="1">
        <v>60</v>
      </c>
      <c r="D91" s="1" t="str">
        <f t="shared" si="18"/>
        <v>部位</v>
      </c>
      <c r="E91" s="1" t="str">
        <f t="shared" si="17"/>
        <v>彩超费</v>
      </c>
    </row>
    <row r="92" spans="1:5">
      <c r="A92" s="1" t="str">
        <f>"彩色多普勒超声常规检查（胸部）"</f>
        <v>彩色多普勒超声常规检查（胸部）</v>
      </c>
      <c r="B92" s="1">
        <v>50</v>
      </c>
      <c r="C92" s="1">
        <v>60</v>
      </c>
      <c r="D92" s="1" t="str">
        <f t="shared" si="18"/>
        <v>部位</v>
      </c>
      <c r="E92" s="1" t="str">
        <f t="shared" si="17"/>
        <v>彩超费</v>
      </c>
    </row>
    <row r="93" spans="1:5">
      <c r="A93" s="1" t="str">
        <f>"彩色多普勒超声常规检查(产科)"</f>
        <v>彩色多普勒超声常规检查(产科)</v>
      </c>
      <c r="B93" s="1">
        <v>50</v>
      </c>
      <c r="C93" s="1">
        <v>60</v>
      </c>
      <c r="D93" s="1" t="str">
        <f t="shared" si="18"/>
        <v>部位</v>
      </c>
      <c r="E93" s="1" t="str">
        <f t="shared" si="17"/>
        <v>彩超费</v>
      </c>
    </row>
    <row r="94" spans="1:5">
      <c r="A94" s="1" t="str">
        <f>"浅表器官彩色多普勒超声检查"</f>
        <v>浅表器官彩色多普勒超声检查</v>
      </c>
      <c r="B94" s="1">
        <v>50</v>
      </c>
      <c r="C94" s="1">
        <v>50</v>
      </c>
      <c r="D94" s="1" t="str">
        <f>"每个 部位"</f>
        <v>每个 部位</v>
      </c>
      <c r="E94" s="1" t="str">
        <f t="shared" si="17"/>
        <v>彩超费</v>
      </c>
    </row>
    <row r="95" spans="1:5">
      <c r="A95" s="1" t="str">
        <f>"浅表器官彩色多普勒超声检查(关节)"</f>
        <v>浅表器官彩色多普勒超声检查(关节)</v>
      </c>
      <c r="B95" s="1">
        <v>50</v>
      </c>
      <c r="C95" s="1">
        <v>60</v>
      </c>
      <c r="D95" s="1" t="str">
        <f>"每个部位"</f>
        <v>每个部位</v>
      </c>
      <c r="E95" s="1" t="str">
        <f t="shared" si="17"/>
        <v>彩超费</v>
      </c>
    </row>
    <row r="96" spans="1:5">
      <c r="A96" s="1" t="str">
        <f>"浅表器官彩色多普勒超声检查(甲状腺及颈部淋巴结)"</f>
        <v>浅表器官彩色多普勒超声检查(甲状腺及颈部淋巴结)</v>
      </c>
      <c r="B96" s="1">
        <v>50</v>
      </c>
      <c r="C96" s="1">
        <v>60</v>
      </c>
      <c r="D96" s="1" t="str">
        <f>"每个部位"</f>
        <v>每个部位</v>
      </c>
      <c r="E96" s="1" t="str">
        <f t="shared" si="17"/>
        <v>彩超费</v>
      </c>
    </row>
    <row r="97" spans="1:5">
      <c r="A97" s="1" t="str">
        <f>"浅表器官彩色多普勒超声检查(乳腺及其引流区淋巴结)"</f>
        <v>浅表器官彩色多普勒超声检查(乳腺及其引流区淋巴结)</v>
      </c>
      <c r="B97" s="1">
        <v>50</v>
      </c>
      <c r="C97" s="1">
        <v>50</v>
      </c>
      <c r="D97" s="1" t="str">
        <f>"每个 部位"</f>
        <v>每个 部位</v>
      </c>
      <c r="E97" s="1" t="str">
        <f t="shared" si="17"/>
        <v>彩超费</v>
      </c>
    </row>
    <row r="98" spans="1:5">
      <c r="A98" s="1" t="str">
        <f>"浅表器官彩色多普勒超声检查(上肢或下肢软组织)"</f>
        <v>浅表器官彩色多普勒超声检查(上肢或下肢软组织)</v>
      </c>
      <c r="B98" s="1">
        <v>50</v>
      </c>
      <c r="C98" s="1">
        <v>50</v>
      </c>
      <c r="D98" s="1" t="str">
        <f>"项"</f>
        <v>项</v>
      </c>
      <c r="E98" s="1" t="str">
        <f>"检查费"</f>
        <v>检查费</v>
      </c>
    </row>
    <row r="99" spans="1:5">
      <c r="A99" s="1" t="str">
        <f>"颈部血管彩色多普勒超声"</f>
        <v>颈部血管彩色多普勒超声</v>
      </c>
      <c r="B99" s="1">
        <v>35</v>
      </c>
      <c r="C99" s="1">
        <v>45</v>
      </c>
      <c r="D99" s="1" t="str">
        <f>"每根"</f>
        <v>每根</v>
      </c>
      <c r="E99" s="1" t="str">
        <f t="shared" ref="E99:E101" si="19">"彩超费"</f>
        <v>彩超费</v>
      </c>
    </row>
    <row r="100" spans="1:5">
      <c r="A100" s="1" t="str">
        <f>"四肢血管彩色多普勒超声"</f>
        <v>四肢血管彩色多普勒超声</v>
      </c>
      <c r="B100" s="1">
        <v>35</v>
      </c>
      <c r="C100" s="1">
        <v>35</v>
      </c>
      <c r="D100" s="1" t="str">
        <f>"每肢"</f>
        <v>每肢</v>
      </c>
      <c r="E100" s="1" t="str">
        <f t="shared" si="19"/>
        <v>彩超费</v>
      </c>
    </row>
    <row r="101" spans="1:5">
      <c r="A101" s="1" t="str">
        <f>"腔内彩色多普勒超声检查"</f>
        <v>腔内彩色多普勒超声检查</v>
      </c>
      <c r="B101" s="1">
        <v>35</v>
      </c>
      <c r="C101" s="1">
        <v>35</v>
      </c>
      <c r="D101" s="1" t="str">
        <f t="shared" ref="D101:D103" si="20">"次"</f>
        <v>次</v>
      </c>
      <c r="E101" s="1" t="str">
        <f t="shared" si="19"/>
        <v>彩超费</v>
      </c>
    </row>
    <row r="102" spans="1:5">
      <c r="A102" s="1" t="str">
        <f>"腔内彩色多普勒超声检查(经阴道)"</f>
        <v>腔内彩色多普勒超声检查(经阴道)</v>
      </c>
      <c r="B102" s="1">
        <v>35</v>
      </c>
      <c r="C102" s="1">
        <v>35</v>
      </c>
      <c r="D102" s="1" t="str">
        <f t="shared" si="20"/>
        <v>次</v>
      </c>
      <c r="E102" s="1" t="str">
        <f>"超声费"</f>
        <v>超声费</v>
      </c>
    </row>
    <row r="103" spans="1:5">
      <c r="A103" s="1" t="str">
        <f>"临床操作的彩色多普勒超声引导"</f>
        <v>临床操作的彩色多普勒超声引导</v>
      </c>
      <c r="B103" s="1">
        <v>85</v>
      </c>
      <c r="C103" s="1">
        <v>85</v>
      </c>
      <c r="D103" s="1" t="str">
        <f t="shared" si="20"/>
        <v>次</v>
      </c>
      <c r="E103" s="1" t="str">
        <f t="shared" ref="E103:E107" si="21">"彩超费"</f>
        <v>彩超费</v>
      </c>
    </row>
    <row r="104" spans="1:5">
      <c r="A104" s="1" t="str">
        <f>"多普勒血流图"</f>
        <v>多普勒血流图</v>
      </c>
      <c r="B104" s="1">
        <v>30</v>
      </c>
      <c r="C104" s="1">
        <v>30</v>
      </c>
      <c r="D104" s="1" t="str">
        <f>"每部位"</f>
        <v>每部位</v>
      </c>
      <c r="E104" s="1" t="str">
        <f t="shared" si="21"/>
        <v>彩超费</v>
      </c>
    </row>
    <row r="105" spans="1:5">
      <c r="A105" s="1" t="str">
        <f>"心脏彩色多普勒超声"</f>
        <v>心脏彩色多普勒超声</v>
      </c>
      <c r="B105" s="1">
        <v>100</v>
      </c>
      <c r="C105" s="1">
        <v>100</v>
      </c>
      <c r="D105" s="1" t="str">
        <f t="shared" ref="D105:D108" si="22">"次"</f>
        <v>次</v>
      </c>
      <c r="E105" s="1" t="str">
        <f t="shared" si="21"/>
        <v>彩超费</v>
      </c>
    </row>
    <row r="106" spans="1:5">
      <c r="A106" s="1" t="str">
        <f>"左心功能测定"</f>
        <v>左心功能测定</v>
      </c>
      <c r="B106" s="1">
        <v>65</v>
      </c>
      <c r="C106" s="1">
        <v>65</v>
      </c>
      <c r="D106" s="1" t="str">
        <f>"车次"</f>
        <v>车次</v>
      </c>
      <c r="E106" s="1" t="str">
        <f t="shared" si="21"/>
        <v>彩超费</v>
      </c>
    </row>
    <row r="107" spans="1:5">
      <c r="A107" s="1" t="str">
        <f>"室壁运动分析"</f>
        <v>室壁运动分析</v>
      </c>
      <c r="B107" s="1">
        <v>50</v>
      </c>
      <c r="C107" s="1">
        <v>50</v>
      </c>
      <c r="D107" s="1" t="str">
        <f t="shared" si="22"/>
        <v>次</v>
      </c>
      <c r="E107" s="1" t="str">
        <f t="shared" si="21"/>
        <v>彩超费</v>
      </c>
    </row>
    <row r="108" spans="1:5">
      <c r="A108" s="1" t="str">
        <f>"计算机图文报告"</f>
        <v>计算机图文报告</v>
      </c>
      <c r="B108" s="1">
        <v>15</v>
      </c>
      <c r="C108" s="1">
        <v>15</v>
      </c>
      <c r="D108" s="1" t="str">
        <f t="shared" si="22"/>
        <v>次</v>
      </c>
      <c r="E108" s="1" t="str">
        <f t="shared" ref="E108:E110" si="23">"检查费"</f>
        <v>检查费</v>
      </c>
    </row>
    <row r="109" spans="1:5">
      <c r="A109" s="1" t="str">
        <f>"彩色胶片报告"</f>
        <v>彩色胶片报告</v>
      </c>
      <c r="B109" s="1">
        <v>20</v>
      </c>
      <c r="C109" s="1">
        <v>20</v>
      </c>
      <c r="D109" s="1" t="str">
        <f>"片"</f>
        <v>片</v>
      </c>
      <c r="E109" s="1" t="str">
        <f t="shared" si="23"/>
        <v>检查费</v>
      </c>
    </row>
    <row r="110" spans="1:5">
      <c r="A110" s="1" t="str">
        <f>"骨密度测定"</f>
        <v>骨密度测定</v>
      </c>
      <c r="B110" s="1">
        <v>40</v>
      </c>
      <c r="C110" s="1">
        <v>40</v>
      </c>
      <c r="D110" s="1" t="str">
        <f t="shared" ref="D110:D117" si="24">"次"</f>
        <v>次</v>
      </c>
      <c r="E110" s="1" t="str">
        <f t="shared" si="23"/>
        <v>检查费</v>
      </c>
    </row>
    <row r="111" spans="1:5">
      <c r="A111" s="1" t="str">
        <f>"红细胞沉降率测定(ESR)(手工法)"</f>
        <v>红细胞沉降率测定(ESR)(手工法)</v>
      </c>
      <c r="B111" s="1">
        <v>5</v>
      </c>
      <c r="C111" s="1">
        <v>5</v>
      </c>
      <c r="D111" s="1" t="str">
        <f t="shared" ref="D111:D114" si="25">"项"</f>
        <v>项</v>
      </c>
      <c r="E111" s="1" t="str">
        <f t="shared" ref="E111:E174" si="26">"检验费"</f>
        <v>检验费</v>
      </c>
    </row>
    <row r="112" spans="1:5">
      <c r="A112" s="1" t="str">
        <f>"血细胞分析（五分类）"</f>
        <v>血细胞分析（五分类）</v>
      </c>
      <c r="B112" s="1">
        <v>18</v>
      </c>
      <c r="C112" s="1">
        <v>18</v>
      </c>
      <c r="D112" s="1" t="str">
        <f t="shared" si="24"/>
        <v>次</v>
      </c>
      <c r="E112" s="1" t="str">
        <f t="shared" si="26"/>
        <v>检验费</v>
      </c>
    </row>
    <row r="113" spans="1:5">
      <c r="A113" s="1" t="str">
        <f>"尿妊娠试验"</f>
        <v>尿妊娠试验</v>
      </c>
      <c r="B113" s="1">
        <v>7</v>
      </c>
      <c r="C113" s="1">
        <v>7</v>
      </c>
      <c r="D113" s="1" t="str">
        <f t="shared" si="25"/>
        <v>项</v>
      </c>
      <c r="E113" s="1" t="str">
        <f t="shared" si="26"/>
        <v>检验费</v>
      </c>
    </row>
    <row r="114" spans="1:5">
      <c r="A114" s="1" t="str">
        <f>"尿沉渣定量"</f>
        <v>尿沉渣定量</v>
      </c>
      <c r="B114" s="1">
        <v>20</v>
      </c>
      <c r="C114" s="1">
        <v>20</v>
      </c>
      <c r="D114" s="1" t="str">
        <f t="shared" si="25"/>
        <v>项</v>
      </c>
      <c r="E114" s="1" t="str">
        <f t="shared" si="26"/>
        <v>检验费</v>
      </c>
    </row>
    <row r="115" spans="1:5">
      <c r="A115" s="1" t="str">
        <f>"尿常规化学检测"</f>
        <v>尿常规化学检测</v>
      </c>
      <c r="B115" s="1">
        <v>5</v>
      </c>
      <c r="C115" s="1">
        <v>5</v>
      </c>
      <c r="D115" s="1" t="str">
        <f t="shared" si="24"/>
        <v>次</v>
      </c>
      <c r="E115" s="1" t="str">
        <f t="shared" si="26"/>
        <v>检验费</v>
      </c>
    </row>
    <row r="116" spans="1:5">
      <c r="A116" s="1" t="str">
        <f>"尿液分析(使用抗维生素C试剂条加收)"</f>
        <v>尿液分析(使用抗维生素C试剂条加收)</v>
      </c>
      <c r="B116" s="1">
        <v>2</v>
      </c>
      <c r="C116" s="1">
        <v>2</v>
      </c>
      <c r="D116" s="1" t="str">
        <f t="shared" si="24"/>
        <v>次</v>
      </c>
      <c r="E116" s="1" t="str">
        <f t="shared" si="26"/>
        <v>检验费</v>
      </c>
    </row>
    <row r="117" spans="1:5">
      <c r="A117" s="1" t="str">
        <f>"粪便常规"</f>
        <v>粪便常规</v>
      </c>
      <c r="B117" s="1">
        <v>5</v>
      </c>
      <c r="C117" s="1">
        <v>5</v>
      </c>
      <c r="D117" s="1" t="str">
        <f t="shared" si="24"/>
        <v>次</v>
      </c>
      <c r="E117" s="1" t="str">
        <f t="shared" si="26"/>
        <v>检验费</v>
      </c>
    </row>
    <row r="118" spans="1:5">
      <c r="A118" s="1" t="str">
        <f>"粪便隐血试验(OB)"</f>
        <v>粪便隐血试验(OB)</v>
      </c>
      <c r="B118" s="1">
        <v>12</v>
      </c>
      <c r="C118" s="1">
        <v>12</v>
      </c>
      <c r="D118" s="1" t="str">
        <f t="shared" ref="D118:D127" si="27">"项"</f>
        <v>项</v>
      </c>
      <c r="E118" s="1" t="str">
        <f t="shared" si="26"/>
        <v>检验费</v>
      </c>
    </row>
    <row r="119" spans="1:5">
      <c r="A119" s="1" t="str">
        <f>"阴道分泌物检查"</f>
        <v>阴道分泌物检查</v>
      </c>
      <c r="B119" s="1">
        <v>7</v>
      </c>
      <c r="C119" s="1">
        <v>7</v>
      </c>
      <c r="D119" s="1" t="str">
        <f>"次"</f>
        <v>次</v>
      </c>
      <c r="E119" s="1" t="str">
        <f t="shared" si="26"/>
        <v>检验费</v>
      </c>
    </row>
    <row r="120" spans="1:5">
      <c r="A120" s="1" t="str">
        <f>"细菌性阴道炎检查（白细胞酯梅）"</f>
        <v>细菌性阴道炎检查（白细胞酯梅）</v>
      </c>
      <c r="B120" s="1">
        <v>12</v>
      </c>
      <c r="C120" s="1">
        <v>12</v>
      </c>
      <c r="D120" s="1" t="str">
        <f t="shared" si="27"/>
        <v>项</v>
      </c>
      <c r="E120" s="1" t="str">
        <f t="shared" si="26"/>
        <v>检验费</v>
      </c>
    </row>
    <row r="121" spans="1:5">
      <c r="A121" s="1" t="str">
        <f>"细菌性阴道炎检查（过氧化氢浓度）"</f>
        <v>细菌性阴道炎检查（过氧化氢浓度）</v>
      </c>
      <c r="B121" s="1">
        <v>12</v>
      </c>
      <c r="C121" s="1">
        <v>12</v>
      </c>
      <c r="D121" s="1" t="str">
        <f t="shared" si="27"/>
        <v>项</v>
      </c>
      <c r="E121" s="1" t="str">
        <f t="shared" si="26"/>
        <v>检验费</v>
      </c>
    </row>
    <row r="122" spans="1:5">
      <c r="A122" s="1" t="str">
        <f>"细菌性阴道炎检查(唾液酸苷酶）"</f>
        <v>细菌性阴道炎检查(唾液酸苷酶）</v>
      </c>
      <c r="B122" s="1">
        <v>12</v>
      </c>
      <c r="C122" s="1">
        <v>12</v>
      </c>
      <c r="D122" s="1" t="str">
        <f t="shared" si="27"/>
        <v>项</v>
      </c>
      <c r="E122" s="1" t="str">
        <f t="shared" si="26"/>
        <v>检验费</v>
      </c>
    </row>
    <row r="123" spans="1:5">
      <c r="A123" s="1" t="str">
        <f>"血浆凝血酶原时间测定(PT)"</f>
        <v>血浆凝血酶原时间测定(PT)</v>
      </c>
      <c r="B123" s="1">
        <v>15</v>
      </c>
      <c r="C123" s="1">
        <v>15</v>
      </c>
      <c r="D123" s="1" t="str">
        <f t="shared" si="27"/>
        <v>项</v>
      </c>
      <c r="E123" s="1" t="str">
        <f t="shared" si="26"/>
        <v>检验费</v>
      </c>
    </row>
    <row r="124" spans="1:5">
      <c r="A124" s="1" t="str">
        <f>"活化部分凝血活酶时间测定(APTT)"</f>
        <v>活化部分凝血活酶时间测定(APTT)</v>
      </c>
      <c r="B124" s="1">
        <v>20</v>
      </c>
      <c r="C124" s="1">
        <v>20</v>
      </c>
      <c r="D124" s="1" t="str">
        <f t="shared" si="27"/>
        <v>项</v>
      </c>
      <c r="E124" s="1" t="str">
        <f t="shared" si="26"/>
        <v>检验费</v>
      </c>
    </row>
    <row r="125" spans="1:5">
      <c r="A125" s="1" t="str">
        <f>"(FIB)血浆纤维蛋白原测定"</f>
        <v>(FIB)血浆纤维蛋白原测定</v>
      </c>
      <c r="B125" s="1">
        <v>15</v>
      </c>
      <c r="C125" s="1">
        <v>15</v>
      </c>
      <c r="D125" s="1" t="str">
        <f t="shared" si="27"/>
        <v>项</v>
      </c>
      <c r="E125" s="1" t="str">
        <f t="shared" si="26"/>
        <v>检验费</v>
      </c>
    </row>
    <row r="126" spans="1:5">
      <c r="A126" s="1" t="str">
        <f>"凝血酶时间测定(TT)"</f>
        <v>凝血酶时间测定(TT)</v>
      </c>
      <c r="B126" s="1">
        <v>12</v>
      </c>
      <c r="C126" s="1">
        <v>12</v>
      </c>
      <c r="D126" s="1" t="str">
        <f t="shared" si="27"/>
        <v>项</v>
      </c>
      <c r="E126" s="1" t="str">
        <f t="shared" si="26"/>
        <v>检验费</v>
      </c>
    </row>
    <row r="127" spans="1:5">
      <c r="A127" s="1" t="str">
        <f>"血浆D-二聚体测定(D-Dimer)"</f>
        <v>血浆D-二聚体测定(D-Dimer)</v>
      </c>
      <c r="B127" s="1">
        <v>45</v>
      </c>
      <c r="C127" s="1">
        <v>45</v>
      </c>
      <c r="D127" s="1" t="str">
        <f t="shared" si="27"/>
        <v>项</v>
      </c>
      <c r="E127" s="1" t="str">
        <f t="shared" si="26"/>
        <v>检验费</v>
      </c>
    </row>
    <row r="128" spans="1:5">
      <c r="A128" s="1" t="str">
        <f>"红细胞流变特性检测"</f>
        <v>红细胞流变特性检测</v>
      </c>
      <c r="B128" s="1">
        <v>15</v>
      </c>
      <c r="C128" s="1">
        <v>15</v>
      </c>
      <c r="D128" s="1" t="str">
        <f>"次"</f>
        <v>次</v>
      </c>
      <c r="E128" s="1" t="str">
        <f t="shared" si="26"/>
        <v>检验费</v>
      </c>
    </row>
    <row r="129" spans="1:5">
      <c r="A129" s="1" t="str">
        <f>"全血粘度测定（低切）"</f>
        <v>全血粘度测定（低切）</v>
      </c>
      <c r="B129" s="1">
        <v>15</v>
      </c>
      <c r="C129" s="1">
        <v>15</v>
      </c>
      <c r="D129" s="1" t="str">
        <f t="shared" ref="D129:D136" si="28">"项"</f>
        <v>项</v>
      </c>
      <c r="E129" s="1" t="str">
        <f t="shared" si="26"/>
        <v>检验费</v>
      </c>
    </row>
    <row r="130" spans="1:5">
      <c r="A130" s="1" t="str">
        <f>"全血粘度测定（中切）"</f>
        <v>全血粘度测定（中切）</v>
      </c>
      <c r="B130" s="1">
        <v>15</v>
      </c>
      <c r="C130" s="1">
        <v>15</v>
      </c>
      <c r="D130" s="1" t="str">
        <f t="shared" si="28"/>
        <v>项</v>
      </c>
      <c r="E130" s="1" t="str">
        <f t="shared" si="26"/>
        <v>检验费</v>
      </c>
    </row>
    <row r="131" spans="1:5">
      <c r="A131" s="1" t="str">
        <f>"全血粘度测定（高切）"</f>
        <v>全血粘度测定（高切）</v>
      </c>
      <c r="B131" s="1">
        <v>15</v>
      </c>
      <c r="C131" s="1">
        <v>15</v>
      </c>
      <c r="D131" s="1" t="str">
        <f t="shared" si="28"/>
        <v>项</v>
      </c>
      <c r="E131" s="1" t="str">
        <f t="shared" si="26"/>
        <v>检验费</v>
      </c>
    </row>
    <row r="132" spans="1:5">
      <c r="A132" s="1" t="str">
        <f>"血浆粘度测定"</f>
        <v>血浆粘度测定</v>
      </c>
      <c r="B132" s="1">
        <v>5</v>
      </c>
      <c r="C132" s="1">
        <v>5</v>
      </c>
      <c r="D132" s="1" t="str">
        <f t="shared" si="28"/>
        <v>项</v>
      </c>
      <c r="E132" s="1" t="str">
        <f t="shared" si="26"/>
        <v>检验费</v>
      </c>
    </row>
    <row r="133" spans="1:5">
      <c r="A133" s="1" t="str">
        <f>"血清总蛋白测定化学法"</f>
        <v>血清总蛋白测定化学法</v>
      </c>
      <c r="B133" s="1">
        <v>4</v>
      </c>
      <c r="C133" s="1">
        <v>4</v>
      </c>
      <c r="D133" s="1" t="str">
        <f t="shared" si="28"/>
        <v>项</v>
      </c>
      <c r="E133" s="1" t="str">
        <f t="shared" si="26"/>
        <v>检验费</v>
      </c>
    </row>
    <row r="134" spans="1:5">
      <c r="A134" s="1" t="str">
        <f>"血清白蛋白测定化学法"</f>
        <v>血清白蛋白测定化学法</v>
      </c>
      <c r="B134" s="1">
        <v>4</v>
      </c>
      <c r="C134" s="1">
        <v>4</v>
      </c>
      <c r="D134" s="1" t="str">
        <f t="shared" si="28"/>
        <v>项</v>
      </c>
      <c r="E134" s="1" t="str">
        <f t="shared" si="26"/>
        <v>检验费</v>
      </c>
    </row>
    <row r="135" spans="1:5">
      <c r="A135" s="1" t="str">
        <f>"血清转铁蛋白测定"</f>
        <v>血清转铁蛋白测定</v>
      </c>
      <c r="B135" s="1">
        <v>20</v>
      </c>
      <c r="C135" s="1">
        <v>20</v>
      </c>
      <c r="D135" s="1" t="str">
        <f t="shared" si="28"/>
        <v>项</v>
      </c>
      <c r="E135" s="1" t="str">
        <f t="shared" si="26"/>
        <v>检验费</v>
      </c>
    </row>
    <row r="136" spans="1:5">
      <c r="A136" s="1" t="str">
        <f>"超敏C反应蛋白测定（速率散射比浊法）"</f>
        <v>超敏C反应蛋白测定（速率散射比浊法）</v>
      </c>
      <c r="B136" s="1">
        <v>35</v>
      </c>
      <c r="C136" s="1">
        <v>35</v>
      </c>
      <c r="D136" s="1" t="str">
        <f t="shared" si="28"/>
        <v>项</v>
      </c>
      <c r="E136" s="1" t="str">
        <f t="shared" si="26"/>
        <v>检验费</v>
      </c>
    </row>
    <row r="137" spans="1:5">
      <c r="A137" s="1" t="str">
        <f>"葡萄糖测定"</f>
        <v>葡萄糖测定</v>
      </c>
      <c r="B137" s="1">
        <v>4</v>
      </c>
      <c r="C137" s="1">
        <v>4</v>
      </c>
      <c r="D137" s="1" t="str">
        <f>"次"</f>
        <v>次</v>
      </c>
      <c r="E137" s="1" t="str">
        <f t="shared" si="26"/>
        <v>检验费</v>
      </c>
    </row>
    <row r="138" spans="1:5">
      <c r="A138" s="1" t="str">
        <f>"糖化血红蛋白测定"</f>
        <v>糖化血红蛋白测定</v>
      </c>
      <c r="B138" s="1">
        <v>30</v>
      </c>
      <c r="C138" s="1">
        <v>60</v>
      </c>
      <c r="D138" s="1" t="str">
        <f>"次"</f>
        <v>次</v>
      </c>
      <c r="E138" s="1" t="str">
        <f t="shared" si="26"/>
        <v>检验费</v>
      </c>
    </row>
    <row r="139" spans="1:5">
      <c r="A139" s="1" t="str">
        <f>"血清总胆固醇测定化学法、酶法"</f>
        <v>血清总胆固醇测定化学法、酶法</v>
      </c>
      <c r="B139" s="1">
        <v>4</v>
      </c>
      <c r="C139" s="1">
        <v>4</v>
      </c>
      <c r="D139" s="1" t="str">
        <f t="shared" ref="D139:D158" si="29">"项"</f>
        <v>项</v>
      </c>
      <c r="E139" s="1" t="str">
        <f t="shared" si="26"/>
        <v>检验费</v>
      </c>
    </row>
    <row r="140" spans="1:5">
      <c r="A140" s="1" t="str">
        <f>"血清甘油三酯测定化学法、酶法"</f>
        <v>血清甘油三酯测定化学法、酶法</v>
      </c>
      <c r="B140" s="1">
        <v>5</v>
      </c>
      <c r="C140" s="1">
        <v>5</v>
      </c>
      <c r="D140" s="1" t="str">
        <f t="shared" si="29"/>
        <v>项</v>
      </c>
      <c r="E140" s="1" t="str">
        <f t="shared" si="26"/>
        <v>检验费</v>
      </c>
    </row>
    <row r="141" spans="1:5">
      <c r="A141" s="1" t="str">
        <f>"血清高密度脂蛋白胆固醇测定"</f>
        <v>血清高密度脂蛋白胆固醇测定</v>
      </c>
      <c r="B141" s="1">
        <v>8</v>
      </c>
      <c r="C141" s="1">
        <v>8</v>
      </c>
      <c r="D141" s="1" t="str">
        <f t="shared" si="29"/>
        <v>项</v>
      </c>
      <c r="E141" s="1" t="str">
        <f t="shared" si="26"/>
        <v>检验费</v>
      </c>
    </row>
    <row r="142" spans="1:5">
      <c r="A142" s="1" t="str">
        <f>"血清低密度脂蛋白胆固醇测定其他方法"</f>
        <v>血清低密度脂蛋白胆固醇测定其他方法</v>
      </c>
      <c r="B142" s="1">
        <v>8</v>
      </c>
      <c r="C142" s="1">
        <v>10</v>
      </c>
      <c r="D142" s="1" t="str">
        <f t="shared" si="29"/>
        <v>项</v>
      </c>
      <c r="E142" s="1" t="str">
        <f t="shared" si="26"/>
        <v>检验费</v>
      </c>
    </row>
    <row r="143" spans="1:5">
      <c r="A143" s="1" t="str">
        <f>"血清载脂蛋白AⅠ测定"</f>
        <v>血清载脂蛋白AⅠ测定</v>
      </c>
      <c r="B143" s="1">
        <v>25</v>
      </c>
      <c r="C143" s="1">
        <v>25</v>
      </c>
      <c r="D143" s="1" t="str">
        <f t="shared" si="29"/>
        <v>项</v>
      </c>
      <c r="E143" s="1" t="str">
        <f t="shared" si="26"/>
        <v>检验费</v>
      </c>
    </row>
    <row r="144" spans="1:5">
      <c r="A144" s="1" t="str">
        <f>"血清载脂蛋白B测定"</f>
        <v>血清载脂蛋白B测定</v>
      </c>
      <c r="B144" s="1">
        <v>25</v>
      </c>
      <c r="C144" s="1">
        <v>25</v>
      </c>
      <c r="D144" s="1" t="str">
        <f t="shared" si="29"/>
        <v>项</v>
      </c>
      <c r="E144" s="1" t="str">
        <f t="shared" si="26"/>
        <v>检验费</v>
      </c>
    </row>
    <row r="145" spans="1:5">
      <c r="A145" s="1" t="str">
        <f>"血清载脂蛋白α测定（免疫比浊法）"</f>
        <v>血清载脂蛋白α测定（免疫比浊法）</v>
      </c>
      <c r="B145" s="1">
        <v>25</v>
      </c>
      <c r="C145" s="1">
        <v>25</v>
      </c>
      <c r="D145" s="1" t="str">
        <f t="shared" si="29"/>
        <v>项</v>
      </c>
      <c r="E145" s="1" t="str">
        <f t="shared" si="26"/>
        <v>检验费</v>
      </c>
    </row>
    <row r="146" spans="1:5">
      <c r="A146" s="1" t="str">
        <f>"钾测定"</f>
        <v>钾测定</v>
      </c>
      <c r="B146" s="1">
        <v>4</v>
      </c>
      <c r="C146" s="1">
        <v>4</v>
      </c>
      <c r="D146" s="1" t="str">
        <f t="shared" si="29"/>
        <v>项</v>
      </c>
      <c r="E146" s="1" t="str">
        <f t="shared" si="26"/>
        <v>检验费</v>
      </c>
    </row>
    <row r="147" spans="1:5">
      <c r="A147" s="1" t="str">
        <f>"钠测定"</f>
        <v>钠测定</v>
      </c>
      <c r="B147" s="1">
        <v>4</v>
      </c>
      <c r="C147" s="1">
        <v>4</v>
      </c>
      <c r="D147" s="1" t="str">
        <f t="shared" si="29"/>
        <v>项</v>
      </c>
      <c r="E147" s="1" t="str">
        <f t="shared" si="26"/>
        <v>检验费</v>
      </c>
    </row>
    <row r="148" spans="1:5">
      <c r="A148" s="1" t="str">
        <f>"氯测定"</f>
        <v>氯测定</v>
      </c>
      <c r="B148" s="1">
        <v>4</v>
      </c>
      <c r="C148" s="1">
        <v>4</v>
      </c>
      <c r="D148" s="1" t="str">
        <f t="shared" si="29"/>
        <v>项</v>
      </c>
      <c r="E148" s="1" t="str">
        <f t="shared" si="26"/>
        <v>检验费</v>
      </c>
    </row>
    <row r="149" spans="1:5">
      <c r="A149" s="1" t="str">
        <f>"钙测定"</f>
        <v>钙测定</v>
      </c>
      <c r="B149" s="1">
        <v>4</v>
      </c>
      <c r="C149" s="1">
        <v>4</v>
      </c>
      <c r="D149" s="1" t="str">
        <f t="shared" si="29"/>
        <v>项</v>
      </c>
      <c r="E149" s="1" t="str">
        <f t="shared" si="26"/>
        <v>检验费</v>
      </c>
    </row>
    <row r="150" spans="1:5">
      <c r="A150" s="1" t="str">
        <f>"无机磷测定"</f>
        <v>无机磷测定</v>
      </c>
      <c r="B150" s="1">
        <v>4</v>
      </c>
      <c r="C150" s="1">
        <v>4</v>
      </c>
      <c r="D150" s="1" t="str">
        <f t="shared" si="29"/>
        <v>项</v>
      </c>
      <c r="E150" s="1" t="str">
        <f t="shared" si="26"/>
        <v>检验费</v>
      </c>
    </row>
    <row r="151" spans="1:5">
      <c r="A151" s="1" t="str">
        <f>"血清总胆红素测定"</f>
        <v>血清总胆红素测定</v>
      </c>
      <c r="B151" s="1">
        <v>4</v>
      </c>
      <c r="C151" s="1">
        <v>4</v>
      </c>
      <c r="D151" s="1" t="str">
        <f t="shared" si="29"/>
        <v>项</v>
      </c>
      <c r="E151" s="1" t="str">
        <f t="shared" si="26"/>
        <v>检验费</v>
      </c>
    </row>
    <row r="152" spans="1:5">
      <c r="A152" s="1" t="str">
        <f>"血清直接胆红素测定"</f>
        <v>血清直接胆红素测定</v>
      </c>
      <c r="B152" s="1">
        <v>4</v>
      </c>
      <c r="C152" s="1">
        <v>4</v>
      </c>
      <c r="D152" s="1" t="str">
        <f t="shared" si="29"/>
        <v>项</v>
      </c>
      <c r="E152" s="1" t="str">
        <f t="shared" si="26"/>
        <v>检验费</v>
      </c>
    </row>
    <row r="153" spans="1:5">
      <c r="A153" s="1" t="str">
        <f>"血清总胆汁酸测定"</f>
        <v>血清总胆汁酸测定</v>
      </c>
      <c r="B153" s="1">
        <v>8</v>
      </c>
      <c r="C153" s="1">
        <v>8</v>
      </c>
      <c r="D153" s="1" t="str">
        <f t="shared" si="29"/>
        <v>项</v>
      </c>
      <c r="E153" s="1" t="str">
        <f t="shared" si="26"/>
        <v>检验费</v>
      </c>
    </row>
    <row r="154" spans="1:5">
      <c r="A154" s="1" t="str">
        <f>"(ALT)血清丙氨酸氨基转移酶测定"</f>
        <v>(ALT)血清丙氨酸氨基转移酶测定</v>
      </c>
      <c r="B154" s="1">
        <v>5</v>
      </c>
      <c r="C154" s="1">
        <v>5</v>
      </c>
      <c r="D154" s="1" t="str">
        <f t="shared" si="29"/>
        <v>项</v>
      </c>
      <c r="E154" s="1" t="str">
        <f t="shared" si="26"/>
        <v>检验费</v>
      </c>
    </row>
    <row r="155" spans="1:5">
      <c r="A155" s="1" t="str">
        <f>"(AST)血清天门冬氨酸氨基转移酶测定速率法"</f>
        <v>(AST)血清天门冬氨酸氨基转移酶测定速率法</v>
      </c>
      <c r="B155" s="1">
        <v>5</v>
      </c>
      <c r="C155" s="1">
        <v>5</v>
      </c>
      <c r="D155" s="1" t="str">
        <f t="shared" si="29"/>
        <v>项</v>
      </c>
      <c r="E155" s="1" t="str">
        <f t="shared" si="26"/>
        <v>检验费</v>
      </c>
    </row>
    <row r="156" spans="1:5">
      <c r="A156" s="1" t="str">
        <f>"血清γ-谷氨酰基转移酶测定速率法"</f>
        <v>血清γ-谷氨酰基转移酶测定速率法</v>
      </c>
      <c r="B156" s="1">
        <v>5</v>
      </c>
      <c r="C156" s="1">
        <v>5</v>
      </c>
      <c r="D156" s="1" t="str">
        <f t="shared" si="29"/>
        <v>项</v>
      </c>
      <c r="E156" s="1" t="str">
        <f t="shared" si="26"/>
        <v>检验费</v>
      </c>
    </row>
    <row r="157" spans="1:5">
      <c r="A157" s="1" t="str">
        <f>"(AKP)血清碱性磷酸酶测定速率法"</f>
        <v>(AKP)血清碱性磷酸酶测定速率法</v>
      </c>
      <c r="B157" s="1">
        <v>5</v>
      </c>
      <c r="C157" s="1">
        <v>5</v>
      </c>
      <c r="D157" s="1" t="str">
        <f t="shared" si="29"/>
        <v>项</v>
      </c>
      <c r="E157" s="1" t="str">
        <f t="shared" si="26"/>
        <v>检验费</v>
      </c>
    </row>
    <row r="158" spans="1:5">
      <c r="A158" s="1" t="str">
        <f>"血清胆碱脂酶测定（速率法）"</f>
        <v>血清胆碱脂酶测定（速率法）</v>
      </c>
      <c r="B158" s="1">
        <v>5</v>
      </c>
      <c r="C158" s="1">
        <v>5</v>
      </c>
      <c r="D158" s="1" t="str">
        <f t="shared" si="29"/>
        <v>项</v>
      </c>
      <c r="E158" s="1" t="str">
        <f t="shared" si="26"/>
        <v>检验费</v>
      </c>
    </row>
    <row r="159" spans="1:5">
      <c r="A159" s="1" t="str">
        <f>"血清Ⅳ型胶原测定"</f>
        <v>血清Ⅳ型胶原测定</v>
      </c>
      <c r="B159" s="1">
        <v>30</v>
      </c>
      <c r="C159" s="1">
        <v>30</v>
      </c>
      <c r="D159" s="1" t="str">
        <f t="shared" ref="D159:D162" si="30">"次"</f>
        <v>次</v>
      </c>
      <c r="E159" s="1" t="str">
        <f t="shared" si="26"/>
        <v>检验费</v>
      </c>
    </row>
    <row r="160" spans="1:5">
      <c r="A160" s="1" t="str">
        <f>"血清Ⅲ型胶原测定"</f>
        <v>血清Ⅲ型胶原测定</v>
      </c>
      <c r="B160" s="1">
        <v>30</v>
      </c>
      <c r="C160" s="1">
        <v>30</v>
      </c>
      <c r="D160" s="1" t="str">
        <f t="shared" si="30"/>
        <v>次</v>
      </c>
      <c r="E160" s="1" t="str">
        <f t="shared" si="26"/>
        <v>检验费</v>
      </c>
    </row>
    <row r="161" spans="1:5">
      <c r="A161" s="1" t="str">
        <f>"血清层粘连蛋白测定"</f>
        <v>血清层粘连蛋白测定</v>
      </c>
      <c r="B161" s="1">
        <v>30</v>
      </c>
      <c r="C161" s="1">
        <v>30</v>
      </c>
      <c r="D161" s="1" t="str">
        <f t="shared" si="30"/>
        <v>次</v>
      </c>
      <c r="E161" s="1" t="str">
        <f t="shared" si="26"/>
        <v>检验费</v>
      </c>
    </row>
    <row r="162" spans="1:5">
      <c r="A162" s="1" t="str">
        <f>"血清透明质酸酶测定"</f>
        <v>血清透明质酸酶测定</v>
      </c>
      <c r="B162" s="1">
        <v>30</v>
      </c>
      <c r="C162" s="1">
        <v>30</v>
      </c>
      <c r="D162" s="1" t="str">
        <f t="shared" si="30"/>
        <v>次</v>
      </c>
      <c r="E162" s="1" t="str">
        <f t="shared" si="26"/>
        <v>检验费</v>
      </c>
    </row>
    <row r="163" spans="1:5">
      <c r="A163" s="1" t="str">
        <f>"血清肌酸激酶测定（速率法）"</f>
        <v>血清肌酸激酶测定（速率法）</v>
      </c>
      <c r="B163" s="1">
        <v>5</v>
      </c>
      <c r="C163" s="1">
        <v>5</v>
      </c>
      <c r="D163" s="1" t="str">
        <f t="shared" ref="D163:D183" si="31">"项"</f>
        <v>项</v>
      </c>
      <c r="E163" s="1" t="str">
        <f t="shared" si="26"/>
        <v>检验费</v>
      </c>
    </row>
    <row r="164" spans="1:5">
      <c r="A164" s="1" t="str">
        <f>"血清肌酸激酶-MB同工酶活性测定（速率法）"</f>
        <v>血清肌酸激酶-MB同工酶活性测定（速率法）</v>
      </c>
      <c r="B164" s="1">
        <v>5</v>
      </c>
      <c r="C164" s="1">
        <v>5</v>
      </c>
      <c r="D164" s="1" t="str">
        <f t="shared" si="31"/>
        <v>项</v>
      </c>
      <c r="E164" s="1" t="str">
        <f t="shared" si="26"/>
        <v>检验费</v>
      </c>
    </row>
    <row r="165" spans="1:5">
      <c r="A165" s="1" t="str">
        <f>"血清肌酸激酶－MB同工酶质量测定"</f>
        <v>血清肌酸激酶－MB同工酶质量测定</v>
      </c>
      <c r="B165" s="1">
        <v>60</v>
      </c>
      <c r="C165" s="1">
        <v>70</v>
      </c>
      <c r="D165" s="1" t="str">
        <f t="shared" si="31"/>
        <v>项</v>
      </c>
      <c r="E165" s="1" t="str">
        <f t="shared" si="26"/>
        <v>检验费</v>
      </c>
    </row>
    <row r="166" spans="1:5">
      <c r="A166" s="1" t="str">
        <f>"(LDH)乳酸脱氢酶测定"</f>
        <v>(LDH)乳酸脱氢酶测定</v>
      </c>
      <c r="B166" s="1">
        <v>5</v>
      </c>
      <c r="C166" s="1">
        <v>5</v>
      </c>
      <c r="D166" s="1" t="str">
        <f t="shared" si="31"/>
        <v>项</v>
      </c>
      <c r="E166" s="1" t="str">
        <f t="shared" si="26"/>
        <v>检验费</v>
      </c>
    </row>
    <row r="167" spans="1:5">
      <c r="A167" s="1" t="str">
        <f>"血清α羟基丁酸脱氢酶测定速率法"</f>
        <v>血清α羟基丁酸脱氢酶测定速率法</v>
      </c>
      <c r="B167" s="1">
        <v>10</v>
      </c>
      <c r="C167" s="1">
        <v>10</v>
      </c>
      <c r="D167" s="1" t="str">
        <f t="shared" si="31"/>
        <v>项</v>
      </c>
      <c r="E167" s="1" t="str">
        <f t="shared" si="26"/>
        <v>检验费</v>
      </c>
    </row>
    <row r="168" spans="1:5">
      <c r="A168" s="1" t="str">
        <f>"血清肌钙蛋白T测定化学发光法"</f>
        <v>血清肌钙蛋白T测定化学发光法</v>
      </c>
      <c r="B168" s="1">
        <v>70</v>
      </c>
      <c r="C168" s="1">
        <v>70</v>
      </c>
      <c r="D168" s="1" t="str">
        <f t="shared" si="31"/>
        <v>项</v>
      </c>
      <c r="E168" s="1" t="str">
        <f t="shared" si="26"/>
        <v>检验费</v>
      </c>
    </row>
    <row r="169" spans="1:5">
      <c r="A169" s="1" t="str">
        <f>"血清肌钙蛋白Ⅰ测定荧光免疫法"</f>
        <v>血清肌钙蛋白Ⅰ测定荧光免疫法</v>
      </c>
      <c r="B169" s="1">
        <v>70</v>
      </c>
      <c r="C169" s="1">
        <v>70</v>
      </c>
      <c r="D169" s="1" t="str">
        <f t="shared" si="31"/>
        <v>项</v>
      </c>
      <c r="E169" s="1" t="str">
        <f t="shared" si="26"/>
        <v>检验费</v>
      </c>
    </row>
    <row r="170" spans="1:5">
      <c r="A170" s="1" t="str">
        <f>"血清肌红蛋白测定荧光免疫法"</f>
        <v>血清肌红蛋白测定荧光免疫法</v>
      </c>
      <c r="B170" s="1">
        <v>60</v>
      </c>
      <c r="C170" s="1">
        <v>70</v>
      </c>
      <c r="D170" s="1" t="str">
        <f t="shared" si="31"/>
        <v>项</v>
      </c>
      <c r="E170" s="1" t="str">
        <f t="shared" si="26"/>
        <v>检验费</v>
      </c>
    </row>
    <row r="171" spans="1:5">
      <c r="A171" s="1" t="str">
        <f>"血同型半胱氨酸测定各种免疫学方法"</f>
        <v>血同型半胱氨酸测定各种免疫学方法</v>
      </c>
      <c r="B171" s="1">
        <v>60</v>
      </c>
      <c r="C171" s="1">
        <v>70</v>
      </c>
      <c r="D171" s="1" t="str">
        <f t="shared" si="31"/>
        <v>项</v>
      </c>
      <c r="E171" s="1" t="str">
        <f t="shared" si="26"/>
        <v>检验费</v>
      </c>
    </row>
    <row r="172" spans="1:5">
      <c r="A172" s="1" t="str">
        <f>"N端-前脑钠肽（NT-PROBNP）测定"</f>
        <v>N端-前脑钠肽（NT-PROBNP）测定</v>
      </c>
      <c r="B172" s="1">
        <v>150</v>
      </c>
      <c r="C172" s="1">
        <v>200</v>
      </c>
      <c r="D172" s="1" t="str">
        <f t="shared" si="31"/>
        <v>项</v>
      </c>
      <c r="E172" s="1" t="str">
        <f t="shared" si="26"/>
        <v>检验费</v>
      </c>
    </row>
    <row r="173" spans="1:5">
      <c r="A173" s="1" t="str">
        <f>"尿素测定"</f>
        <v>尿素测定</v>
      </c>
      <c r="B173" s="1">
        <v>4</v>
      </c>
      <c r="C173" s="1">
        <v>4</v>
      </c>
      <c r="D173" s="1" t="str">
        <f t="shared" si="31"/>
        <v>项</v>
      </c>
      <c r="E173" s="1" t="str">
        <f t="shared" si="26"/>
        <v>检验费</v>
      </c>
    </row>
    <row r="174" spans="1:5">
      <c r="A174" s="1" t="str">
        <f>"肌酐测定"</f>
        <v>肌酐测定</v>
      </c>
      <c r="B174" s="1">
        <v>4</v>
      </c>
      <c r="C174" s="1">
        <v>4</v>
      </c>
      <c r="D174" s="1" t="str">
        <f t="shared" si="31"/>
        <v>项</v>
      </c>
      <c r="E174" s="1" t="str">
        <f t="shared" si="26"/>
        <v>检验费</v>
      </c>
    </row>
    <row r="175" spans="1:5">
      <c r="A175" s="1" t="str">
        <f>"肌酐测定（酶促动力学法）（尿标本）"</f>
        <v>肌酐测定（酶促动力学法）（尿标本）</v>
      </c>
      <c r="B175" s="1">
        <v>4</v>
      </c>
      <c r="C175" s="1">
        <v>4</v>
      </c>
      <c r="D175" s="1" t="str">
        <f t="shared" si="31"/>
        <v>项</v>
      </c>
      <c r="E175" s="1" t="str">
        <f t="shared" ref="E175:E238" si="32">"检验费"</f>
        <v>检验费</v>
      </c>
    </row>
    <row r="176" spans="1:5">
      <c r="A176" s="1" t="str">
        <f>"血清尿酸测定"</f>
        <v>血清尿酸测定</v>
      </c>
      <c r="B176" s="1">
        <v>3</v>
      </c>
      <c r="C176" s="1">
        <v>3</v>
      </c>
      <c r="D176" s="1" t="str">
        <f t="shared" si="31"/>
        <v>项</v>
      </c>
      <c r="E176" s="1" t="str">
        <f t="shared" si="32"/>
        <v>检验费</v>
      </c>
    </row>
    <row r="177" spans="1:5">
      <c r="A177" s="1" t="str">
        <f>"尿微量白蛋白测定散射比浊法"</f>
        <v>尿微量白蛋白测定散射比浊法</v>
      </c>
      <c r="B177" s="1">
        <v>35</v>
      </c>
      <c r="C177" s="1">
        <v>35</v>
      </c>
      <c r="D177" s="1" t="str">
        <f t="shared" si="31"/>
        <v>项</v>
      </c>
      <c r="E177" s="1" t="str">
        <f t="shared" si="32"/>
        <v>检验费</v>
      </c>
    </row>
    <row r="178" spans="1:5">
      <c r="A178" s="1" t="str">
        <f>"血清胱抑素(CystatinC)测定"</f>
        <v>血清胱抑素(CystatinC)测定</v>
      </c>
      <c r="B178" s="1">
        <v>15</v>
      </c>
      <c r="C178" s="1">
        <v>15</v>
      </c>
      <c r="D178" s="1" t="str">
        <f t="shared" si="31"/>
        <v>项</v>
      </c>
      <c r="E178" s="1" t="str">
        <f t="shared" si="32"/>
        <v>检验费</v>
      </c>
    </row>
    <row r="179" spans="1:5">
      <c r="A179" s="1" t="str">
        <f>"尿淀粉酶测定（比色法、速率法）"</f>
        <v>尿淀粉酶测定（比色法、速率法）</v>
      </c>
      <c r="B179" s="1">
        <v>6</v>
      </c>
      <c r="C179" s="1">
        <v>6</v>
      </c>
      <c r="D179" s="1" t="str">
        <f t="shared" si="31"/>
        <v>项</v>
      </c>
      <c r="E179" s="1" t="str">
        <f t="shared" si="32"/>
        <v>检验费</v>
      </c>
    </row>
    <row r="180" spans="1:5">
      <c r="A180" s="1" t="str">
        <f>"淀粉酶测定（血清）"</f>
        <v>淀粉酶测定（血清）</v>
      </c>
      <c r="B180" s="1">
        <v>6</v>
      </c>
      <c r="C180" s="1">
        <v>6</v>
      </c>
      <c r="D180" s="1" t="str">
        <f t="shared" si="31"/>
        <v>项</v>
      </c>
      <c r="E180" s="1" t="str">
        <f t="shared" si="32"/>
        <v>检验费</v>
      </c>
    </row>
    <row r="181" spans="1:5">
      <c r="A181" s="1" t="str">
        <f>"25羟维生素D测定ELISA法"</f>
        <v>25羟维生素D测定ELISA法</v>
      </c>
      <c r="B181" s="1">
        <v>85</v>
      </c>
      <c r="C181" s="1">
        <v>85</v>
      </c>
      <c r="D181" s="1" t="str">
        <f t="shared" si="31"/>
        <v>项</v>
      </c>
      <c r="E181" s="1" t="str">
        <f t="shared" si="32"/>
        <v>检验费</v>
      </c>
    </row>
    <row r="182" spans="1:5">
      <c r="A182" s="1" t="str">
        <f>"25羟维生素D测定"</f>
        <v>25羟维生素D测定</v>
      </c>
      <c r="B182" s="1">
        <v>110</v>
      </c>
      <c r="C182" s="1">
        <v>110</v>
      </c>
      <c r="D182" s="1" t="str">
        <f t="shared" si="31"/>
        <v>项</v>
      </c>
      <c r="E182" s="1" t="str">
        <f t="shared" si="32"/>
        <v>检验费</v>
      </c>
    </row>
    <row r="183" spans="1:5">
      <c r="A183" s="1" t="str">
        <f>"叶酸测定化学发光法"</f>
        <v>叶酸测定化学发光法</v>
      </c>
      <c r="B183" s="1">
        <v>40</v>
      </c>
      <c r="C183" s="1">
        <v>40</v>
      </c>
      <c r="D183" s="1" t="str">
        <f t="shared" si="31"/>
        <v>项</v>
      </c>
      <c r="E183" s="1" t="str">
        <f t="shared" si="32"/>
        <v>检验费</v>
      </c>
    </row>
    <row r="184" spans="1:5">
      <c r="A184" s="1" t="str">
        <f>"血清维生素B12测定（化学发光法）"</f>
        <v>血清维生素B12测定（化学发光法）</v>
      </c>
      <c r="B184" s="1">
        <v>40</v>
      </c>
      <c r="C184" s="1">
        <v>40</v>
      </c>
      <c r="D184" s="1" t="str">
        <f>"次"</f>
        <v>次</v>
      </c>
      <c r="E184" s="1" t="str">
        <f t="shared" si="32"/>
        <v>检验费</v>
      </c>
    </row>
    <row r="185" spans="1:5">
      <c r="A185" s="1" t="str">
        <f>"(TSH)血清促甲状腺激素测定"</f>
        <v>(TSH)血清促甲状腺激素测定</v>
      </c>
      <c r="B185" s="1">
        <v>40</v>
      </c>
      <c r="C185" s="1">
        <v>40</v>
      </c>
      <c r="D185" s="1" t="str">
        <f t="shared" ref="D185:D192" si="33">"项"</f>
        <v>项</v>
      </c>
      <c r="E185" s="1" t="str">
        <f t="shared" si="32"/>
        <v>检验费</v>
      </c>
    </row>
    <row r="186" spans="1:5">
      <c r="A186" s="1" t="str">
        <f>"(PRL)血清泌乳素测定"</f>
        <v>(PRL)血清泌乳素测定</v>
      </c>
      <c r="B186" s="1">
        <v>45</v>
      </c>
      <c r="C186" s="1">
        <v>45</v>
      </c>
      <c r="D186" s="1" t="str">
        <f t="shared" si="33"/>
        <v>项</v>
      </c>
      <c r="E186" s="1" t="str">
        <f t="shared" si="32"/>
        <v>检验费</v>
      </c>
    </row>
    <row r="187" spans="1:5">
      <c r="A187" s="1" t="str">
        <f>"(FSH)血清促卵泡刺激素测定"</f>
        <v>(FSH)血清促卵泡刺激素测定</v>
      </c>
      <c r="B187" s="1">
        <v>40</v>
      </c>
      <c r="C187" s="1">
        <v>40</v>
      </c>
      <c r="D187" s="1" t="str">
        <f t="shared" si="33"/>
        <v>项</v>
      </c>
      <c r="E187" s="1" t="str">
        <f t="shared" si="32"/>
        <v>检验费</v>
      </c>
    </row>
    <row r="188" spans="1:5">
      <c r="A188" s="1" t="str">
        <f>"(LH)血清促黄体生成素测定"</f>
        <v>(LH)血清促黄体生成素测定</v>
      </c>
      <c r="B188" s="1">
        <v>40</v>
      </c>
      <c r="C188" s="1">
        <v>40</v>
      </c>
      <c r="D188" s="1" t="str">
        <f t="shared" si="33"/>
        <v>项</v>
      </c>
      <c r="E188" s="1" t="str">
        <f t="shared" si="32"/>
        <v>检验费</v>
      </c>
    </row>
    <row r="189" spans="1:5">
      <c r="A189" s="1" t="str">
        <f>"降钙素测定（化学发光法）"</f>
        <v>降钙素测定（化学发光法）</v>
      </c>
      <c r="B189" s="1">
        <v>60</v>
      </c>
      <c r="C189" s="1">
        <v>60</v>
      </c>
      <c r="D189" s="1" t="str">
        <f t="shared" si="33"/>
        <v>项</v>
      </c>
      <c r="E189" s="1" t="str">
        <f t="shared" si="32"/>
        <v>检验费</v>
      </c>
    </row>
    <row r="190" spans="1:5">
      <c r="A190" s="1" t="str">
        <f>"甲状旁腺激素测定"</f>
        <v>甲状旁腺激素测定</v>
      </c>
      <c r="B190" s="1">
        <v>40</v>
      </c>
      <c r="C190" s="1">
        <v>40</v>
      </c>
      <c r="D190" s="1" t="str">
        <f t="shared" si="33"/>
        <v>项</v>
      </c>
      <c r="E190" s="1" t="str">
        <f t="shared" si="32"/>
        <v>检验费</v>
      </c>
    </row>
    <row r="191" spans="1:5">
      <c r="A191" s="1" t="str">
        <f>"血清甲状腺素(T4)测定"</f>
        <v>血清甲状腺素(T4)测定</v>
      </c>
      <c r="B191" s="1">
        <v>40</v>
      </c>
      <c r="C191" s="1">
        <v>40</v>
      </c>
      <c r="D191" s="1" t="str">
        <f t="shared" si="33"/>
        <v>项</v>
      </c>
      <c r="E191" s="1" t="str">
        <f t="shared" si="32"/>
        <v>检验费</v>
      </c>
    </row>
    <row r="192" spans="1:5">
      <c r="A192" s="1" t="str">
        <f>"血清三碘甲状原氨酸(T3)测定"</f>
        <v>血清三碘甲状原氨酸(T3)测定</v>
      </c>
      <c r="B192" s="1">
        <v>40</v>
      </c>
      <c r="C192" s="1">
        <v>40</v>
      </c>
      <c r="D192" s="1" t="str">
        <f t="shared" si="33"/>
        <v>项</v>
      </c>
      <c r="E192" s="1" t="str">
        <f t="shared" si="32"/>
        <v>检验费</v>
      </c>
    </row>
    <row r="193" spans="1:5">
      <c r="A193" s="1" t="str">
        <f>"血清反T3测定（化学发光法、荧光免疫法）"</f>
        <v>血清反T3测定（化学发光法、荧光免疫法）</v>
      </c>
      <c r="B193" s="1">
        <v>40</v>
      </c>
      <c r="C193" s="1">
        <v>40</v>
      </c>
      <c r="D193" s="1" t="str">
        <f>"次"</f>
        <v>次</v>
      </c>
      <c r="E193" s="1" t="str">
        <f t="shared" si="32"/>
        <v>检验费</v>
      </c>
    </row>
    <row r="194" spans="1:5">
      <c r="A194" s="1" t="str">
        <f>"血清游离甲状腺素(FT4)测定"</f>
        <v>血清游离甲状腺素(FT4)测定</v>
      </c>
      <c r="B194" s="1">
        <v>40</v>
      </c>
      <c r="C194" s="1">
        <v>40</v>
      </c>
      <c r="D194" s="1" t="str">
        <f t="shared" ref="D194:D215" si="34">"项"</f>
        <v>项</v>
      </c>
      <c r="E194" s="1" t="str">
        <f t="shared" si="32"/>
        <v>检验费</v>
      </c>
    </row>
    <row r="195" spans="1:5">
      <c r="A195" s="1" t="str">
        <f>"血清游离三碘甲状原氨酸(FT3)测定"</f>
        <v>血清游离三碘甲状原氨酸(FT3)测定</v>
      </c>
      <c r="B195" s="1">
        <v>40</v>
      </c>
      <c r="C195" s="1">
        <v>40</v>
      </c>
      <c r="D195" s="1" t="str">
        <f t="shared" si="34"/>
        <v>项</v>
      </c>
      <c r="E195" s="1" t="str">
        <f t="shared" si="32"/>
        <v>检验费</v>
      </c>
    </row>
    <row r="196" spans="1:5">
      <c r="A196" s="1" t="str">
        <f>"血清甲状腺结合球蛋白测定（化学发光法、荧光免疫法）"</f>
        <v>血清甲状腺结合球蛋白测定（化学发光法、荧光免疫法）</v>
      </c>
      <c r="B196" s="1">
        <v>60</v>
      </c>
      <c r="C196" s="1">
        <v>60</v>
      </c>
      <c r="D196" s="1" t="str">
        <f t="shared" si="34"/>
        <v>项</v>
      </c>
      <c r="E196" s="1" t="str">
        <f t="shared" si="32"/>
        <v>检验费</v>
      </c>
    </row>
    <row r="197" spans="1:5">
      <c r="A197" s="1" t="str">
        <f>"(TRAB)促甲状腺素受体抗体测定"</f>
        <v>(TRAB)促甲状腺素受体抗体测定</v>
      </c>
      <c r="B197" s="1">
        <v>60</v>
      </c>
      <c r="C197" s="1">
        <v>60</v>
      </c>
      <c r="D197" s="1" t="str">
        <f t="shared" si="34"/>
        <v>项</v>
      </c>
      <c r="E197" s="1" t="str">
        <f t="shared" si="32"/>
        <v>检验费</v>
      </c>
    </row>
    <row r="198" spans="1:5">
      <c r="A198" s="1" t="str">
        <f>"醛固酮测定(化学发光法、荧光免疫法)"</f>
        <v>醛固酮测定(化学发光法、荧光免疫法)</v>
      </c>
      <c r="B198" s="1">
        <v>40</v>
      </c>
      <c r="C198" s="1">
        <v>40</v>
      </c>
      <c r="D198" s="1" t="str">
        <f t="shared" si="34"/>
        <v>项</v>
      </c>
      <c r="E198" s="1" t="str">
        <f t="shared" si="32"/>
        <v>检验费</v>
      </c>
    </row>
    <row r="199" spans="1:5">
      <c r="A199" s="1" t="str">
        <f>"血浆肾素活性测定"</f>
        <v>血浆肾素活性测定</v>
      </c>
      <c r="B199" s="1">
        <v>30</v>
      </c>
      <c r="C199" s="1">
        <v>30</v>
      </c>
      <c r="D199" s="1" t="str">
        <f t="shared" si="34"/>
        <v>项</v>
      </c>
      <c r="E199" s="1" t="str">
        <f t="shared" si="32"/>
        <v>检验费</v>
      </c>
    </row>
    <row r="200" spans="1:5">
      <c r="A200" s="1" t="str">
        <f>"血管紧张素Ⅱ测定"</f>
        <v>血管紧张素Ⅱ测定</v>
      </c>
      <c r="B200" s="1">
        <v>12</v>
      </c>
      <c r="C200" s="1">
        <v>12</v>
      </c>
      <c r="D200" s="1" t="str">
        <f t="shared" si="34"/>
        <v>项</v>
      </c>
      <c r="E200" s="1" t="str">
        <f t="shared" si="32"/>
        <v>检验费</v>
      </c>
    </row>
    <row r="201" spans="1:5">
      <c r="A201" s="1" t="str">
        <f>"(T)睾酮测定"</f>
        <v>(T)睾酮测定</v>
      </c>
      <c r="B201" s="1">
        <v>60</v>
      </c>
      <c r="C201" s="1">
        <v>60</v>
      </c>
      <c r="D201" s="1" t="str">
        <f t="shared" si="34"/>
        <v>项</v>
      </c>
      <c r="E201" s="1" t="str">
        <f t="shared" si="32"/>
        <v>检验费</v>
      </c>
    </row>
    <row r="202" spans="1:5">
      <c r="A202" s="1" t="str">
        <f>"雌三醇测定（化学发光法、荧光免疫法）"</f>
        <v>雌三醇测定（化学发光法、荧光免疫法）</v>
      </c>
      <c r="B202" s="1">
        <v>60</v>
      </c>
      <c r="C202" s="1">
        <v>60</v>
      </c>
      <c r="D202" s="1" t="str">
        <f t="shared" si="34"/>
        <v>项</v>
      </c>
      <c r="E202" s="1" t="str">
        <f t="shared" si="32"/>
        <v>检验费</v>
      </c>
    </row>
    <row r="203" spans="1:5">
      <c r="A203" s="1" t="str">
        <f>"(E2)雌二醇测定"</f>
        <v>(E2)雌二醇测定</v>
      </c>
      <c r="B203" s="1">
        <v>60</v>
      </c>
      <c r="C203" s="1">
        <v>60</v>
      </c>
      <c r="D203" s="1" t="str">
        <f t="shared" si="34"/>
        <v>项</v>
      </c>
      <c r="E203" s="1" t="str">
        <f t="shared" si="32"/>
        <v>检验费</v>
      </c>
    </row>
    <row r="204" spans="1:5">
      <c r="A204" s="1" t="str">
        <f>"(P)孕酮测定"</f>
        <v>(P)孕酮测定</v>
      </c>
      <c r="B204" s="1">
        <v>60</v>
      </c>
      <c r="C204" s="1">
        <v>60</v>
      </c>
      <c r="D204" s="1" t="str">
        <f t="shared" si="34"/>
        <v>项</v>
      </c>
      <c r="E204" s="1" t="str">
        <f t="shared" si="32"/>
        <v>检验费</v>
      </c>
    </row>
    <row r="205" spans="1:5">
      <c r="A205" s="1" t="str">
        <f>"(HCG)血清人绒毛膜促性腺激素测定"</f>
        <v>(HCG)血清人绒毛膜促性腺激素测定</v>
      </c>
      <c r="B205" s="1">
        <v>40</v>
      </c>
      <c r="C205" s="1">
        <v>40</v>
      </c>
      <c r="D205" s="1" t="str">
        <f t="shared" si="34"/>
        <v>项</v>
      </c>
      <c r="E205" s="1" t="str">
        <f t="shared" si="32"/>
        <v>检验费</v>
      </c>
    </row>
    <row r="206" spans="1:5">
      <c r="A206" s="1" t="str">
        <f>"(INS)血清胰岛素测定"</f>
        <v>(INS)血清胰岛素测定</v>
      </c>
      <c r="B206" s="1">
        <v>40</v>
      </c>
      <c r="C206" s="1">
        <v>40</v>
      </c>
      <c r="D206" s="1" t="str">
        <f t="shared" si="34"/>
        <v>项</v>
      </c>
      <c r="E206" s="1" t="str">
        <f t="shared" si="32"/>
        <v>检验费</v>
      </c>
    </row>
    <row r="207" spans="1:5">
      <c r="A207" s="1" t="str">
        <f>"(CP)血清C肽测定"</f>
        <v>(CP)血清C肽测定</v>
      </c>
      <c r="B207" s="1">
        <v>60</v>
      </c>
      <c r="C207" s="1">
        <v>60</v>
      </c>
      <c r="D207" s="1" t="str">
        <f t="shared" si="34"/>
        <v>项</v>
      </c>
      <c r="E207" s="1" t="str">
        <f t="shared" si="32"/>
        <v>检验费</v>
      </c>
    </row>
    <row r="208" spans="1:5">
      <c r="A208" s="1" t="str">
        <f>"血清抗谷氨酸脱羧酶抗体测定"</f>
        <v>血清抗谷氨酸脱羧酶抗体测定</v>
      </c>
      <c r="B208" s="1">
        <v>60</v>
      </c>
      <c r="C208" s="1">
        <v>60</v>
      </c>
      <c r="D208" s="1" t="str">
        <f t="shared" si="34"/>
        <v>项</v>
      </c>
      <c r="E208" s="1" t="str">
        <f t="shared" si="32"/>
        <v>检验费</v>
      </c>
    </row>
    <row r="209" spans="1:5">
      <c r="A209" s="1" t="str">
        <f>"血清胃泌素释放肽前体（ProGRP)测定"</f>
        <v>血清胃泌素释放肽前体（ProGRP)测定</v>
      </c>
      <c r="B209" s="1">
        <v>50</v>
      </c>
      <c r="C209" s="1">
        <v>115</v>
      </c>
      <c r="D209" s="1" t="str">
        <f t="shared" si="34"/>
        <v>项</v>
      </c>
      <c r="E209" s="1" t="str">
        <f t="shared" si="32"/>
        <v>检验费</v>
      </c>
    </row>
    <row r="210" spans="1:5">
      <c r="A210" s="1" t="str">
        <f>"抗缪勒氏管激素定量测定（AMH）(发光法)"</f>
        <v>抗缪勒氏管激素定量测定（AMH）(发光法)</v>
      </c>
      <c r="B210" s="1">
        <v>160</v>
      </c>
      <c r="C210" s="1">
        <v>160</v>
      </c>
      <c r="D210" s="1" t="str">
        <f t="shared" si="34"/>
        <v>项</v>
      </c>
      <c r="E210" s="1" t="str">
        <f t="shared" si="32"/>
        <v>检验费</v>
      </c>
    </row>
    <row r="211" spans="1:5">
      <c r="A211" s="1" t="str">
        <f>"总补体测定(CH50)"</f>
        <v>总补体测定(CH50)</v>
      </c>
      <c r="B211" s="1">
        <v>10</v>
      </c>
      <c r="C211" s="1">
        <v>10</v>
      </c>
      <c r="D211" s="1" t="str">
        <f t="shared" si="34"/>
        <v>项</v>
      </c>
      <c r="E211" s="1" t="str">
        <f t="shared" si="32"/>
        <v>检验费</v>
      </c>
    </row>
    <row r="212" spans="1:5">
      <c r="A212" s="1" t="str">
        <f>"单项补体测定"</f>
        <v>单项补体测定</v>
      </c>
      <c r="B212" s="1">
        <v>20</v>
      </c>
      <c r="C212" s="1">
        <v>20</v>
      </c>
      <c r="D212" s="1" t="str">
        <f t="shared" si="34"/>
        <v>项</v>
      </c>
      <c r="E212" s="1" t="str">
        <f t="shared" si="32"/>
        <v>检验费</v>
      </c>
    </row>
    <row r="213" spans="1:5">
      <c r="A213" s="1" t="str">
        <f>"免疫球蛋白IgA定量测定（散射比浊法）"</f>
        <v>免疫球蛋白IgA定量测定（散射比浊法）</v>
      </c>
      <c r="B213" s="1">
        <v>20</v>
      </c>
      <c r="C213" s="1">
        <v>20</v>
      </c>
      <c r="D213" s="1" t="str">
        <f t="shared" si="34"/>
        <v>项</v>
      </c>
      <c r="E213" s="1" t="str">
        <f t="shared" si="32"/>
        <v>检验费</v>
      </c>
    </row>
    <row r="214" spans="1:5">
      <c r="A214" s="1" t="str">
        <f>"免疫球蛋白IgG定量测定（散射比浊法）"</f>
        <v>免疫球蛋白IgG定量测定（散射比浊法）</v>
      </c>
      <c r="B214" s="1">
        <v>20</v>
      </c>
      <c r="C214" s="1">
        <v>20</v>
      </c>
      <c r="D214" s="1" t="str">
        <f t="shared" si="34"/>
        <v>项</v>
      </c>
      <c r="E214" s="1" t="str">
        <f t="shared" si="32"/>
        <v>检验费</v>
      </c>
    </row>
    <row r="215" spans="1:5">
      <c r="A215" s="1" t="str">
        <f>"免疫球蛋白IgM定量测定（散射比浊法）"</f>
        <v>免疫球蛋白IgM定量测定（散射比浊法）</v>
      </c>
      <c r="B215" s="1">
        <v>20</v>
      </c>
      <c r="C215" s="1">
        <v>20</v>
      </c>
      <c r="D215" s="1" t="str">
        <f t="shared" si="34"/>
        <v>项</v>
      </c>
      <c r="E215" s="1" t="str">
        <f t="shared" si="32"/>
        <v>检验费</v>
      </c>
    </row>
    <row r="216" spans="1:5">
      <c r="A216" s="1" t="str">
        <f>"抗核抗体测定(ANA)（免疫学法）"</f>
        <v>抗核抗体测定(ANA)（免疫学法）</v>
      </c>
      <c r="B216" s="1">
        <v>30</v>
      </c>
      <c r="C216" s="1">
        <v>30</v>
      </c>
      <c r="D216" s="1" t="str">
        <f>"次"</f>
        <v>次</v>
      </c>
      <c r="E216" s="1" t="str">
        <f t="shared" si="32"/>
        <v>检验费</v>
      </c>
    </row>
    <row r="217" spans="1:5">
      <c r="A217" s="1" t="str">
        <f>"抗核提取物抗体测定(抗ENA抗体)"</f>
        <v>抗核提取物抗体测定(抗ENA抗体)</v>
      </c>
      <c r="B217" s="1">
        <v>20</v>
      </c>
      <c r="C217" s="1">
        <v>20</v>
      </c>
      <c r="D217" s="1" t="str">
        <f t="shared" ref="D217:D221" si="35">"项"</f>
        <v>项</v>
      </c>
      <c r="E217" s="1" t="str">
        <f t="shared" si="32"/>
        <v>检验费</v>
      </c>
    </row>
    <row r="218" spans="1:5">
      <c r="A218" s="1" t="str">
        <f>"抗核提取物抗体测定（抗JO-1)"</f>
        <v>抗核提取物抗体测定（抗JO-1)</v>
      </c>
      <c r="B218" s="1">
        <v>20</v>
      </c>
      <c r="C218" s="1">
        <v>20</v>
      </c>
      <c r="D218" s="1" t="str">
        <f t="shared" si="35"/>
        <v>项</v>
      </c>
      <c r="E218" s="1" t="str">
        <f t="shared" si="32"/>
        <v>检验费</v>
      </c>
    </row>
    <row r="219" spans="1:5">
      <c r="A219" s="1" t="str">
        <f>"抗核提取物抗体测定（抗nRNP)"</f>
        <v>抗核提取物抗体测定（抗nRNP)</v>
      </c>
      <c r="B219" s="1">
        <v>20</v>
      </c>
      <c r="C219" s="1">
        <v>20</v>
      </c>
      <c r="D219" s="1" t="str">
        <f t="shared" si="35"/>
        <v>项</v>
      </c>
      <c r="E219" s="1" t="str">
        <f t="shared" si="32"/>
        <v>检验费</v>
      </c>
    </row>
    <row r="220" spans="1:5">
      <c r="A220" s="1" t="str">
        <f>"抗核提取物抗体测定(抗Sc-L-70)"</f>
        <v>抗核提取物抗体测定(抗Sc-L-70)</v>
      </c>
      <c r="B220" s="1">
        <v>20</v>
      </c>
      <c r="C220" s="1">
        <v>20</v>
      </c>
      <c r="D220" s="1" t="str">
        <f t="shared" si="35"/>
        <v>项</v>
      </c>
      <c r="E220" s="1" t="str">
        <f t="shared" si="32"/>
        <v>检验费</v>
      </c>
    </row>
    <row r="221" spans="1:5">
      <c r="A221" s="1" t="str">
        <f>"抗核提取物抗体测定(抗SM)"</f>
        <v>抗核提取物抗体测定(抗SM)</v>
      </c>
      <c r="B221" s="1">
        <v>20</v>
      </c>
      <c r="C221" s="1">
        <v>20</v>
      </c>
      <c r="D221" s="1" t="str">
        <f t="shared" si="35"/>
        <v>项</v>
      </c>
      <c r="E221" s="1" t="str">
        <f t="shared" si="32"/>
        <v>检验费</v>
      </c>
    </row>
    <row r="222" spans="1:5">
      <c r="A222" s="1" t="str">
        <f>"抗核提取物抗体测定(抗SSA抗体)"</f>
        <v>抗核提取物抗体测定(抗SSA抗体)</v>
      </c>
      <c r="B222" s="1">
        <v>20</v>
      </c>
      <c r="C222" s="1">
        <v>20</v>
      </c>
      <c r="D222" s="1" t="str">
        <f>"次"</f>
        <v>次</v>
      </c>
      <c r="E222" s="1" t="str">
        <f t="shared" si="32"/>
        <v>检验费</v>
      </c>
    </row>
    <row r="223" spans="1:5">
      <c r="A223" s="1" t="str">
        <f>"抗核提取物抗体测定（抗SSB)"</f>
        <v>抗核提取物抗体测定（抗SSB)</v>
      </c>
      <c r="B223" s="1">
        <v>20</v>
      </c>
      <c r="C223" s="1">
        <v>20</v>
      </c>
      <c r="D223" s="1" t="str">
        <f t="shared" ref="D223:D227" si="36">"项"</f>
        <v>项</v>
      </c>
      <c r="E223" s="1" t="str">
        <f t="shared" si="32"/>
        <v>检验费</v>
      </c>
    </row>
    <row r="224" spans="1:5">
      <c r="A224" s="1" t="str">
        <f>"抗组织细胞抗体测定"</f>
        <v>抗组织细胞抗体测定</v>
      </c>
      <c r="B224" s="1">
        <v>40</v>
      </c>
      <c r="C224" s="1">
        <v>40</v>
      </c>
      <c r="D224" s="1" t="str">
        <f t="shared" si="36"/>
        <v>项</v>
      </c>
      <c r="E224" s="1" t="str">
        <f t="shared" si="32"/>
        <v>检验费</v>
      </c>
    </row>
    <row r="225" spans="1:5">
      <c r="A225" s="1" t="str">
        <f>"抗心磷脂抗体测定(ACA)ELISA法"</f>
        <v>抗心磷脂抗体测定(ACA)ELISA法</v>
      </c>
      <c r="B225" s="1">
        <v>70</v>
      </c>
      <c r="C225" s="1">
        <v>70</v>
      </c>
      <c r="D225" s="1" t="str">
        <f t="shared" si="36"/>
        <v>项</v>
      </c>
      <c r="E225" s="1" t="str">
        <f t="shared" si="32"/>
        <v>检验费</v>
      </c>
    </row>
    <row r="226" spans="1:5">
      <c r="A226" s="1" t="str">
        <f>"抗甲状腺球蛋白抗体测定(TGAb)"</f>
        <v>抗甲状腺球蛋白抗体测定(TGAb)</v>
      </c>
      <c r="B226" s="1">
        <v>35</v>
      </c>
      <c r="C226" s="1">
        <v>35</v>
      </c>
      <c r="D226" s="1" t="str">
        <f t="shared" si="36"/>
        <v>项</v>
      </c>
      <c r="E226" s="1" t="str">
        <f t="shared" si="32"/>
        <v>检验费</v>
      </c>
    </row>
    <row r="227" spans="1:5">
      <c r="A227" s="1" t="str">
        <f>"抗胰岛素抗体测定ELISA法"</f>
        <v>抗胰岛素抗体测定ELISA法</v>
      </c>
      <c r="B227" s="1">
        <v>45</v>
      </c>
      <c r="C227" s="1">
        <v>45</v>
      </c>
      <c r="D227" s="1" t="str">
        <f t="shared" si="36"/>
        <v>项</v>
      </c>
      <c r="E227" s="1" t="str">
        <f t="shared" si="32"/>
        <v>检验费</v>
      </c>
    </row>
    <row r="228" spans="1:5">
      <c r="A228" s="1" t="str">
        <f>"类风湿因子(RF)测定（散射比浊法）"</f>
        <v>类风湿因子(RF)测定（散射比浊法）</v>
      </c>
      <c r="B228" s="1">
        <v>30</v>
      </c>
      <c r="C228" s="1">
        <v>30</v>
      </c>
      <c r="D228" s="1" t="str">
        <f>"次"</f>
        <v>次</v>
      </c>
      <c r="E228" s="1" t="str">
        <f t="shared" si="32"/>
        <v>检验费</v>
      </c>
    </row>
    <row r="229" spans="1:5">
      <c r="A229" s="1" t="str">
        <f>"抗甲状腺过氧化物酶抗体"</f>
        <v>抗甲状腺过氧化物酶抗体</v>
      </c>
      <c r="B229" s="1">
        <v>70</v>
      </c>
      <c r="C229" s="1">
        <v>70</v>
      </c>
      <c r="D229" s="1" t="str">
        <f t="shared" ref="D229:D245" si="37">"项"</f>
        <v>项</v>
      </c>
      <c r="E229" s="1" t="str">
        <f t="shared" si="32"/>
        <v>检验费</v>
      </c>
    </row>
    <row r="230" spans="1:5">
      <c r="A230" s="1" t="str">
        <f>"乙型肝炎表面抗原测定(HBsAg)ELISA法"</f>
        <v>乙型肝炎表面抗原测定(HBsAg)ELISA法</v>
      </c>
      <c r="B230" s="1">
        <v>8</v>
      </c>
      <c r="C230" s="1">
        <v>8</v>
      </c>
      <c r="D230" s="1" t="str">
        <f t="shared" si="37"/>
        <v>项</v>
      </c>
      <c r="E230" s="1" t="str">
        <f t="shared" si="32"/>
        <v>检验费</v>
      </c>
    </row>
    <row r="231" spans="1:5">
      <c r="A231" s="1" t="str">
        <f>"乙型肝炎表面抗原测定(HBsAg)（化学发光法、免疫荧光法）"</f>
        <v>乙型肝炎表面抗原测定(HBsAg)（化学发光法、免疫荧光法）</v>
      </c>
      <c r="B231" s="1">
        <v>25</v>
      </c>
      <c r="C231" s="1">
        <v>25</v>
      </c>
      <c r="D231" s="1" t="str">
        <f t="shared" si="37"/>
        <v>项</v>
      </c>
      <c r="E231" s="1" t="str">
        <f t="shared" si="32"/>
        <v>检验费</v>
      </c>
    </row>
    <row r="232" spans="1:5">
      <c r="A232" s="1" t="str">
        <f>"乙型肝炎表面抗体测定(Anti-HBs)ELISA法"</f>
        <v>乙型肝炎表面抗体测定(Anti-HBs)ELISA法</v>
      </c>
      <c r="B232" s="1">
        <v>8</v>
      </c>
      <c r="C232" s="1">
        <v>8</v>
      </c>
      <c r="D232" s="1" t="str">
        <f t="shared" si="37"/>
        <v>项</v>
      </c>
      <c r="E232" s="1" t="str">
        <f t="shared" si="32"/>
        <v>检验费</v>
      </c>
    </row>
    <row r="233" spans="1:5">
      <c r="A233" s="1" t="str">
        <f>"乙型肝炎表面抗体测定(Anti-HBs)化学发光法、免疫荧光法"</f>
        <v>乙型肝炎表面抗体测定(Anti-HBs)化学发光法、免疫荧光法</v>
      </c>
      <c r="B233" s="1">
        <v>25</v>
      </c>
      <c r="C233" s="1">
        <v>25</v>
      </c>
      <c r="D233" s="1" t="str">
        <f t="shared" si="37"/>
        <v>项</v>
      </c>
      <c r="E233" s="1" t="str">
        <f t="shared" si="32"/>
        <v>检验费</v>
      </c>
    </row>
    <row r="234" spans="1:5">
      <c r="A234" s="1" t="str">
        <f>"乙型肝炎e抗原测定(HBeAg)（免疫学法）"</f>
        <v>乙型肝炎e抗原测定(HBeAg)（免疫学法）</v>
      </c>
      <c r="B234" s="1">
        <v>4</v>
      </c>
      <c r="C234" s="1">
        <v>4</v>
      </c>
      <c r="D234" s="1" t="str">
        <f t="shared" si="37"/>
        <v>项</v>
      </c>
      <c r="E234" s="1" t="str">
        <f t="shared" si="32"/>
        <v>检验费</v>
      </c>
    </row>
    <row r="235" spans="1:5">
      <c r="A235" s="1" t="str">
        <f>"乙型肝炎e抗原测定(HBeAg)（化学发光法、免疫荧光法）"</f>
        <v>乙型肝炎e抗原测定(HBeAg)（化学发光法、免疫荧光法）</v>
      </c>
      <c r="B235" s="1">
        <v>25</v>
      </c>
      <c r="C235" s="1">
        <v>25</v>
      </c>
      <c r="D235" s="1" t="str">
        <f t="shared" si="37"/>
        <v>项</v>
      </c>
      <c r="E235" s="1" t="str">
        <f t="shared" si="32"/>
        <v>检验费</v>
      </c>
    </row>
    <row r="236" spans="1:5">
      <c r="A236" s="1" t="str">
        <f>"乙型肝炎e抗体测定(Anti-HBe)免疫学法"</f>
        <v>乙型肝炎e抗体测定(Anti-HBe)免疫学法</v>
      </c>
      <c r="B236" s="1">
        <v>4</v>
      </c>
      <c r="C236" s="1">
        <v>4</v>
      </c>
      <c r="D236" s="1" t="str">
        <f t="shared" si="37"/>
        <v>项</v>
      </c>
      <c r="E236" s="1" t="str">
        <f t="shared" si="32"/>
        <v>检验费</v>
      </c>
    </row>
    <row r="237" spans="1:5">
      <c r="A237" s="1" t="str">
        <f>"乙型肝炎e抗体测定(Anti-HBe)化学发光法、免疫荧光法"</f>
        <v>乙型肝炎e抗体测定(Anti-HBe)化学发光法、免疫荧光法</v>
      </c>
      <c r="B237" s="1">
        <v>20</v>
      </c>
      <c r="C237" s="1">
        <v>20</v>
      </c>
      <c r="D237" s="1" t="str">
        <f t="shared" si="37"/>
        <v>项</v>
      </c>
      <c r="E237" s="1" t="str">
        <f t="shared" si="32"/>
        <v>检验费</v>
      </c>
    </row>
    <row r="238" spans="1:5">
      <c r="A238" s="1" t="str">
        <f>"乙型肝炎核心抗体测定(Anti-HBc)（ELISA法）"</f>
        <v>乙型肝炎核心抗体测定(Anti-HBc)（ELISA法）</v>
      </c>
      <c r="B238" s="1">
        <v>8</v>
      </c>
      <c r="C238" s="1">
        <v>8</v>
      </c>
      <c r="D238" s="1" t="str">
        <f t="shared" si="37"/>
        <v>项</v>
      </c>
      <c r="E238" s="1" t="str">
        <f t="shared" si="32"/>
        <v>检验费</v>
      </c>
    </row>
    <row r="239" spans="1:5">
      <c r="A239" s="1" t="str">
        <f>"乙型肝炎核心抗体测定(Anti-HBc)化学发光法、免疫荧光法"</f>
        <v>乙型肝炎核心抗体测定(Anti-HBc)化学发光法、免疫荧光法</v>
      </c>
      <c r="B239" s="1">
        <v>20</v>
      </c>
      <c r="C239" s="1">
        <v>20</v>
      </c>
      <c r="D239" s="1" t="str">
        <f t="shared" si="37"/>
        <v>项</v>
      </c>
      <c r="E239" s="1" t="str">
        <f t="shared" ref="E239:E291" si="38">"检验费"</f>
        <v>检验费</v>
      </c>
    </row>
    <row r="240" spans="1:5">
      <c r="A240" s="1" t="str">
        <f>"丙型肝炎抗体测定(Anti-HCV)"</f>
        <v>丙型肝炎抗体测定(Anti-HCV)</v>
      </c>
      <c r="B240" s="1">
        <v>25</v>
      </c>
      <c r="C240" s="1">
        <v>25</v>
      </c>
      <c r="D240" s="1" t="str">
        <f t="shared" si="37"/>
        <v>项</v>
      </c>
      <c r="E240" s="1" t="str">
        <f t="shared" si="38"/>
        <v>检验费</v>
      </c>
    </row>
    <row r="241" spans="1:5">
      <c r="A241" s="1" t="str">
        <f>"丁型肝炎抗体测定(Anti-HDV)"</f>
        <v>丁型肝炎抗体测定(Anti-HDV)</v>
      </c>
      <c r="B241" s="1">
        <v>35</v>
      </c>
      <c r="C241" s="1">
        <v>35</v>
      </c>
      <c r="D241" s="1" t="str">
        <f t="shared" si="37"/>
        <v>项</v>
      </c>
      <c r="E241" s="1" t="str">
        <f t="shared" si="38"/>
        <v>检验费</v>
      </c>
    </row>
    <row r="242" spans="1:5">
      <c r="A242" s="1" t="str">
        <f>"庚型肝炎IgG抗体测定"</f>
        <v>庚型肝炎IgG抗体测定</v>
      </c>
      <c r="B242" s="1">
        <v>25</v>
      </c>
      <c r="C242" s="1">
        <v>25</v>
      </c>
      <c r="D242" s="1" t="str">
        <f t="shared" si="37"/>
        <v>项</v>
      </c>
      <c r="E242" s="1" t="str">
        <f t="shared" si="38"/>
        <v>检验费</v>
      </c>
    </row>
    <row r="243" spans="1:5">
      <c r="A243" s="1" t="str">
        <f>"人免疫缺陷病毒抗体测定(Anti-HIV)"</f>
        <v>人免疫缺陷病毒抗体测定(Anti-HIV)</v>
      </c>
      <c r="B243" s="1">
        <v>35</v>
      </c>
      <c r="C243" s="1">
        <v>35</v>
      </c>
      <c r="D243" s="1" t="str">
        <f t="shared" si="37"/>
        <v>项</v>
      </c>
      <c r="E243" s="1" t="str">
        <f t="shared" si="38"/>
        <v>检验费</v>
      </c>
    </row>
    <row r="244" spans="1:5">
      <c r="A244" s="1" t="str">
        <f>"弓形体抗体测定IgG（各种免疫学方法）"</f>
        <v>弓形体抗体测定IgG（各种免疫学方法）</v>
      </c>
      <c r="B244" s="1">
        <v>25</v>
      </c>
      <c r="C244" s="1">
        <v>25</v>
      </c>
      <c r="D244" s="1" t="str">
        <f t="shared" si="37"/>
        <v>项</v>
      </c>
      <c r="E244" s="1" t="str">
        <f t="shared" si="38"/>
        <v>检验费</v>
      </c>
    </row>
    <row r="245" spans="1:5">
      <c r="A245" s="1" t="str">
        <f>"弓形体抗体测定IgM（各种免疫学方法）"</f>
        <v>弓形体抗体测定IgM（各种免疫学方法）</v>
      </c>
      <c r="B245" s="1">
        <v>25</v>
      </c>
      <c r="C245" s="1">
        <v>25</v>
      </c>
      <c r="D245" s="1" t="str">
        <f t="shared" si="37"/>
        <v>项</v>
      </c>
      <c r="E245" s="1" t="str">
        <f t="shared" si="38"/>
        <v>检验费</v>
      </c>
    </row>
    <row r="246" spans="1:5">
      <c r="A246" s="1" t="str">
        <f>"风疹病毒抗体测定"</f>
        <v>风疹病毒抗体测定</v>
      </c>
      <c r="B246" s="1">
        <v>20</v>
      </c>
      <c r="C246" s="1">
        <v>20</v>
      </c>
      <c r="D246" s="1" t="str">
        <f t="shared" ref="D246:D249" si="39">"次"</f>
        <v>次</v>
      </c>
      <c r="E246" s="1" t="str">
        <f t="shared" si="38"/>
        <v>检验费</v>
      </c>
    </row>
    <row r="247" spans="1:5">
      <c r="A247" s="1" t="str">
        <f>"风疹病毒抗体测定IgG（各种免疫学方法）"</f>
        <v>风疹病毒抗体测定IgG（各种免疫学方法）</v>
      </c>
      <c r="B247" s="1">
        <v>20</v>
      </c>
      <c r="C247" s="1">
        <v>20</v>
      </c>
      <c r="D247" s="1" t="str">
        <f t="shared" si="39"/>
        <v>次</v>
      </c>
      <c r="E247" s="1" t="str">
        <f t="shared" si="38"/>
        <v>检验费</v>
      </c>
    </row>
    <row r="248" spans="1:5">
      <c r="A248" s="1" t="str">
        <f>"巨细胞病毒抗体测定"</f>
        <v>巨细胞病毒抗体测定</v>
      </c>
      <c r="B248" s="1">
        <v>25</v>
      </c>
      <c r="C248" s="1">
        <v>25</v>
      </c>
      <c r="D248" s="1" t="str">
        <f t="shared" ref="D248:D262" si="40">"项"</f>
        <v>项</v>
      </c>
      <c r="E248" s="1" t="str">
        <f t="shared" si="38"/>
        <v>检验费</v>
      </c>
    </row>
    <row r="249" spans="1:5">
      <c r="A249" s="1" t="str">
        <f>"巨细胞病毒抗体测定IgG"</f>
        <v>巨细胞病毒抗体测定IgG</v>
      </c>
      <c r="B249" s="1">
        <v>25</v>
      </c>
      <c r="C249" s="1">
        <v>25</v>
      </c>
      <c r="D249" s="1" t="str">
        <f t="shared" si="39"/>
        <v>次</v>
      </c>
      <c r="E249" s="1" t="str">
        <f t="shared" si="38"/>
        <v>检验费</v>
      </c>
    </row>
    <row r="250" spans="1:5">
      <c r="A250" s="1" t="str">
        <f>"单纯疱疹病毒Ⅱ型抗体测定（各种免疫学方法）"</f>
        <v>单纯疱疹病毒Ⅱ型抗体测定（各种免疫学方法）</v>
      </c>
      <c r="B250" s="1">
        <v>25</v>
      </c>
      <c r="C250" s="1">
        <v>25</v>
      </c>
      <c r="D250" s="1" t="str">
        <f t="shared" si="40"/>
        <v>项</v>
      </c>
      <c r="E250" s="1" t="str">
        <f t="shared" si="38"/>
        <v>检验费</v>
      </c>
    </row>
    <row r="251" spans="1:5">
      <c r="A251" s="1" t="str">
        <f>"单纯疱疹病毒抗体测定"</f>
        <v>单纯疱疹病毒抗体测定</v>
      </c>
      <c r="B251" s="1">
        <v>25</v>
      </c>
      <c r="C251" s="1">
        <v>25</v>
      </c>
      <c r="D251" s="1" t="str">
        <f t="shared" si="40"/>
        <v>项</v>
      </c>
      <c r="E251" s="1" t="str">
        <f t="shared" si="38"/>
        <v>检验费</v>
      </c>
    </row>
    <row r="252" spans="1:5">
      <c r="A252" s="1" t="str">
        <f>"EB病毒抗体测定IgG（各种免疫学方法）"</f>
        <v>EB病毒抗体测定IgG（各种免疫学方法）</v>
      </c>
      <c r="B252" s="1">
        <v>20</v>
      </c>
      <c r="C252" s="1">
        <v>20</v>
      </c>
      <c r="D252" s="1" t="str">
        <f t="shared" si="40"/>
        <v>项</v>
      </c>
      <c r="E252" s="1" t="str">
        <f t="shared" si="38"/>
        <v>检验费</v>
      </c>
    </row>
    <row r="253" spans="1:5">
      <c r="A253" s="1" t="str">
        <f>"EB病毒抗体测定IgM（各种免疫学方法）"</f>
        <v>EB病毒抗体测定IgM（各种免疫学方法）</v>
      </c>
      <c r="B253" s="1">
        <v>20</v>
      </c>
      <c r="C253" s="1">
        <v>20</v>
      </c>
      <c r="D253" s="1" t="str">
        <f t="shared" si="40"/>
        <v>项</v>
      </c>
      <c r="E253" s="1" t="str">
        <f t="shared" si="38"/>
        <v>检验费</v>
      </c>
    </row>
    <row r="254" spans="1:5">
      <c r="A254" s="1" t="str">
        <f>"呼吸道合胞病毒抗体测定"</f>
        <v>呼吸道合胞病毒抗体测定</v>
      </c>
      <c r="B254" s="1">
        <v>20</v>
      </c>
      <c r="C254" s="1">
        <v>20</v>
      </c>
      <c r="D254" s="1" t="str">
        <f t="shared" si="40"/>
        <v>项</v>
      </c>
      <c r="E254" s="1" t="str">
        <f t="shared" si="38"/>
        <v>检验费</v>
      </c>
    </row>
    <row r="255" spans="1:5">
      <c r="A255" s="1" t="str">
        <f>"副流感病毒抗体测定"</f>
        <v>副流感病毒抗体测定</v>
      </c>
      <c r="B255" s="1">
        <v>20</v>
      </c>
      <c r="C255" s="1">
        <v>20</v>
      </c>
      <c r="D255" s="1" t="str">
        <f t="shared" si="40"/>
        <v>项</v>
      </c>
      <c r="E255" s="1" t="str">
        <f t="shared" si="38"/>
        <v>检验费</v>
      </c>
    </row>
    <row r="256" spans="1:5">
      <c r="A256" s="1" t="str">
        <f>"腺病毒抗体测定"</f>
        <v>腺病毒抗体测定</v>
      </c>
      <c r="B256" s="1">
        <v>15</v>
      </c>
      <c r="C256" s="1">
        <v>15</v>
      </c>
      <c r="D256" s="1" t="str">
        <f t="shared" si="40"/>
        <v>项</v>
      </c>
      <c r="E256" s="1" t="str">
        <f t="shared" si="38"/>
        <v>检验费</v>
      </c>
    </row>
    <row r="257" spans="1:5">
      <c r="A257" s="1" t="str">
        <f>"病毒血清学试验"</f>
        <v>病毒血清学试验</v>
      </c>
      <c r="B257" s="1">
        <v>25</v>
      </c>
      <c r="C257" s="1">
        <v>25</v>
      </c>
      <c r="D257" s="1" t="str">
        <f t="shared" si="40"/>
        <v>项</v>
      </c>
      <c r="E257" s="1" t="str">
        <f t="shared" si="38"/>
        <v>检验费</v>
      </c>
    </row>
    <row r="258" spans="1:5">
      <c r="A258" s="1" t="str">
        <f>"细菌抗体测定（各种免疫学方法）(幽门螺杆菌抗体)"</f>
        <v>细菌抗体测定（各种免疫学方法）(幽门螺杆菌抗体)</v>
      </c>
      <c r="B258" s="1">
        <v>25</v>
      </c>
      <c r="C258" s="1">
        <v>25</v>
      </c>
      <c r="D258" s="1" t="str">
        <f t="shared" si="40"/>
        <v>项</v>
      </c>
      <c r="E258" s="1" t="str">
        <f t="shared" si="38"/>
        <v>检验费</v>
      </c>
    </row>
    <row r="259" spans="1:5">
      <c r="A259" s="1" t="str">
        <f>"抗链球菌溶血素O测定(ASO)（免疫法）"</f>
        <v>抗链球菌溶血素O测定(ASO)（免疫法）</v>
      </c>
      <c r="B259" s="1">
        <v>30</v>
      </c>
      <c r="C259" s="1">
        <v>30</v>
      </c>
      <c r="D259" s="1" t="str">
        <f t="shared" si="40"/>
        <v>项</v>
      </c>
      <c r="E259" s="1" t="str">
        <f t="shared" si="38"/>
        <v>检验费</v>
      </c>
    </row>
    <row r="260" spans="1:5">
      <c r="A260" s="1" t="str">
        <f>"肺炎支原体血清学试验免疫印迹法"</f>
        <v>肺炎支原体血清学试验免疫印迹法</v>
      </c>
      <c r="B260" s="1">
        <v>45</v>
      </c>
      <c r="C260" s="1">
        <v>45</v>
      </c>
      <c r="D260" s="1" t="str">
        <f t="shared" si="40"/>
        <v>项</v>
      </c>
      <c r="E260" s="1" t="str">
        <f t="shared" si="38"/>
        <v>检验费</v>
      </c>
    </row>
    <row r="261" spans="1:5">
      <c r="A261" s="1" t="str">
        <f>"梅毒螺旋体特异抗体测定（凝集法）"</f>
        <v>梅毒螺旋体特异抗体测定（凝集法）</v>
      </c>
      <c r="B261" s="1">
        <v>20</v>
      </c>
      <c r="C261" s="1">
        <v>20</v>
      </c>
      <c r="D261" s="1" t="str">
        <f t="shared" si="40"/>
        <v>项</v>
      </c>
      <c r="E261" s="1" t="str">
        <f t="shared" si="38"/>
        <v>检验费</v>
      </c>
    </row>
    <row r="262" spans="1:5">
      <c r="A262" s="1" t="str">
        <f>"各类病原体DNA测定"</f>
        <v>各类病原体DNA测定</v>
      </c>
      <c r="B262" s="1">
        <v>50</v>
      </c>
      <c r="C262" s="1">
        <v>50</v>
      </c>
      <c r="D262" s="1" t="str">
        <f t="shared" si="40"/>
        <v>项</v>
      </c>
      <c r="E262" s="1" t="str">
        <f t="shared" si="38"/>
        <v>检验费</v>
      </c>
    </row>
    <row r="263" spans="1:5">
      <c r="A263" s="1" t="str">
        <f>"人乳头瘤病毒(HPV)DNA测定"</f>
        <v>人乳头瘤病毒(HPV)DNA测定</v>
      </c>
      <c r="B263" s="1">
        <v>320</v>
      </c>
      <c r="C263" s="1">
        <v>320</v>
      </c>
      <c r="D263" s="1" t="str">
        <f t="shared" ref="D263:D266" si="41">"次"</f>
        <v>次</v>
      </c>
      <c r="E263" s="1" t="str">
        <f t="shared" si="38"/>
        <v>检验费</v>
      </c>
    </row>
    <row r="264" spans="1:5">
      <c r="A264" s="1" t="str">
        <f>"13碳尿素呼气试验"</f>
        <v>13碳尿素呼气试验</v>
      </c>
      <c r="B264" s="1">
        <v>150</v>
      </c>
      <c r="C264" s="1">
        <v>200</v>
      </c>
      <c r="D264" s="1" t="str">
        <f t="shared" si="41"/>
        <v>次</v>
      </c>
      <c r="E264" s="1" t="str">
        <f t="shared" si="38"/>
        <v>检验费</v>
      </c>
    </row>
    <row r="265" spans="1:5">
      <c r="A265" s="1" t="str">
        <f>"呼吸道感染病原体IgM抗体检测"</f>
        <v>呼吸道感染病原体IgM抗体检测</v>
      </c>
      <c r="B265" s="1">
        <v>45</v>
      </c>
      <c r="C265" s="1">
        <v>45</v>
      </c>
      <c r="D265" s="1" t="str">
        <f t="shared" ref="D265:D272" si="42">"项"</f>
        <v>项</v>
      </c>
      <c r="E265" s="1" t="str">
        <f t="shared" si="38"/>
        <v>检验费</v>
      </c>
    </row>
    <row r="266" spans="1:5">
      <c r="A266" s="1" t="str">
        <f>"呼吸道病毒抗原鉴定（免疫荧光法）"</f>
        <v>呼吸道病毒抗原鉴定（免疫荧光法）</v>
      </c>
      <c r="B266" s="1">
        <v>45</v>
      </c>
      <c r="C266" s="1">
        <v>45</v>
      </c>
      <c r="D266" s="1" t="str">
        <f t="shared" si="41"/>
        <v>次</v>
      </c>
      <c r="E266" s="1" t="str">
        <f t="shared" si="38"/>
        <v>检验费</v>
      </c>
    </row>
    <row r="267" spans="1:5">
      <c r="A267" s="1" t="str">
        <f>"新型冠状病毒核酸检测"</f>
        <v>新型冠状病毒核酸检测</v>
      </c>
      <c r="B267" s="1">
        <v>16</v>
      </c>
      <c r="C267" s="1">
        <v>120</v>
      </c>
      <c r="D267" s="1" t="str">
        <f t="shared" si="42"/>
        <v>项</v>
      </c>
      <c r="E267" s="1" t="str">
        <f t="shared" si="38"/>
        <v>检验费</v>
      </c>
    </row>
    <row r="268" spans="1:5">
      <c r="A268" s="1" t="str">
        <f>"(CEA)癌胚抗原测定"</f>
        <v>(CEA)癌胚抗原测定</v>
      </c>
      <c r="B268" s="1">
        <v>35</v>
      </c>
      <c r="C268" s="1">
        <v>45</v>
      </c>
      <c r="D268" s="1" t="str">
        <f t="shared" si="42"/>
        <v>项</v>
      </c>
      <c r="E268" s="1" t="str">
        <f t="shared" si="38"/>
        <v>检验费</v>
      </c>
    </row>
    <row r="269" spans="1:5">
      <c r="A269" s="1" t="str">
        <f>"(AFP)甲胎蛋白测定"</f>
        <v>(AFP)甲胎蛋白测定</v>
      </c>
      <c r="B269" s="1">
        <v>35</v>
      </c>
      <c r="C269" s="1">
        <v>40</v>
      </c>
      <c r="D269" s="1" t="str">
        <f t="shared" si="42"/>
        <v>项</v>
      </c>
      <c r="E269" s="1" t="str">
        <f t="shared" si="38"/>
        <v>检验费</v>
      </c>
    </row>
    <row r="270" spans="1:5">
      <c r="A270" s="1" t="str">
        <f>"总前列腺特异性抗原测定(TPSA)各种免疫学方法"</f>
        <v>总前列腺特异性抗原测定(TPSA)各种免疫学方法</v>
      </c>
      <c r="B270" s="1">
        <v>50</v>
      </c>
      <c r="C270" s="1">
        <v>65</v>
      </c>
      <c r="D270" s="1" t="str">
        <f t="shared" si="42"/>
        <v>项</v>
      </c>
      <c r="E270" s="1" t="str">
        <f t="shared" si="38"/>
        <v>检验费</v>
      </c>
    </row>
    <row r="271" spans="1:5">
      <c r="A271" s="1" t="str">
        <f>"游离前列腺特异性抗原测定(FPSA)"</f>
        <v>游离前列腺特异性抗原测定(FPSA)</v>
      </c>
      <c r="B271" s="1">
        <v>50</v>
      </c>
      <c r="C271" s="1">
        <v>65</v>
      </c>
      <c r="D271" s="1" t="str">
        <f t="shared" si="42"/>
        <v>项</v>
      </c>
      <c r="E271" s="1" t="str">
        <f t="shared" si="38"/>
        <v>检验费</v>
      </c>
    </row>
    <row r="272" spans="1:5">
      <c r="A272" s="1" t="str">
        <f>"神经元特异性烯醇化酶测定(NSE)"</f>
        <v>神经元特异性烯醇化酶测定(NSE)</v>
      </c>
      <c r="B272" s="1">
        <v>50</v>
      </c>
      <c r="C272" s="1">
        <v>65</v>
      </c>
      <c r="D272" s="1" t="str">
        <f t="shared" si="42"/>
        <v>项</v>
      </c>
      <c r="E272" s="1" t="str">
        <f t="shared" si="38"/>
        <v>检验费</v>
      </c>
    </row>
    <row r="273" spans="1:5">
      <c r="A273" s="1" t="str">
        <f>"细胞角蛋白19片段测定(CYFRA21-1)（化学发光法、荧光免疫法）"</f>
        <v>细胞角蛋白19片段测定(CYFRA21-1)（化学发光法、荧光免疫法）</v>
      </c>
      <c r="B273" s="1">
        <v>50</v>
      </c>
      <c r="C273" s="1">
        <v>65</v>
      </c>
      <c r="D273" s="1" t="str">
        <f>"次"</f>
        <v>次</v>
      </c>
      <c r="E273" s="1" t="str">
        <f t="shared" si="38"/>
        <v>检验费</v>
      </c>
    </row>
    <row r="274" spans="1:5">
      <c r="A274" s="1" t="str">
        <f>"糖类抗原测定CA24-2(各种免疫学方法)"</f>
        <v>糖类抗原测定CA24-2(各种免疫学方法)</v>
      </c>
      <c r="B274" s="1">
        <v>30</v>
      </c>
      <c r="C274" s="1">
        <v>35</v>
      </c>
      <c r="D274" s="1" t="str">
        <f t="shared" ref="D274:D278" si="43">"项"</f>
        <v>项</v>
      </c>
      <c r="E274" s="1" t="str">
        <f t="shared" si="38"/>
        <v>检验费</v>
      </c>
    </row>
    <row r="275" spans="1:5">
      <c r="A275" s="1" t="str">
        <f>"糖类抗原测定CA125(化学发光法、荧光免疫法)"</f>
        <v>糖类抗原测定CA125(化学发光法、荧光免疫法)</v>
      </c>
      <c r="B275" s="1">
        <v>50</v>
      </c>
      <c r="C275" s="1">
        <v>65</v>
      </c>
      <c r="D275" s="1" t="str">
        <f t="shared" si="43"/>
        <v>项</v>
      </c>
      <c r="E275" s="1" t="str">
        <f t="shared" si="38"/>
        <v>检验费</v>
      </c>
    </row>
    <row r="276" spans="1:5">
      <c r="A276" s="1" t="str">
        <f>"糖类抗原测定CA19-9(化学发光法、荧光免疫法)"</f>
        <v>糖类抗原测定CA19-9(化学发光法、荧光免疫法)</v>
      </c>
      <c r="B276" s="1">
        <v>50</v>
      </c>
      <c r="C276" s="1">
        <v>65</v>
      </c>
      <c r="D276" s="1" t="str">
        <f t="shared" si="43"/>
        <v>项</v>
      </c>
      <c r="E276" s="1" t="str">
        <f t="shared" si="38"/>
        <v>检验费</v>
      </c>
    </row>
    <row r="277" spans="1:5">
      <c r="A277" s="1" t="str">
        <f>"糖类抗原测定CA15-3(化学发光法、荧光免疫法)"</f>
        <v>糖类抗原测定CA15-3(化学发光法、荧光免疫法)</v>
      </c>
      <c r="B277" s="1">
        <v>50</v>
      </c>
      <c r="C277" s="1">
        <v>65</v>
      </c>
      <c r="D277" s="1" t="str">
        <f t="shared" si="43"/>
        <v>项</v>
      </c>
      <c r="E277" s="1" t="str">
        <f t="shared" si="38"/>
        <v>检验费</v>
      </c>
    </row>
    <row r="278" spans="1:5">
      <c r="A278" s="1" t="str">
        <f>"糖类抗原测定CA72-4(化学发光法、荧光免疫法)"</f>
        <v>糖类抗原测定CA72-4(化学发光法、荧光免疫法)</v>
      </c>
      <c r="B278" s="1">
        <v>50</v>
      </c>
      <c r="C278" s="1">
        <v>65</v>
      </c>
      <c r="D278" s="1" t="str">
        <f t="shared" si="43"/>
        <v>项</v>
      </c>
      <c r="E278" s="1" t="str">
        <f t="shared" si="38"/>
        <v>检验费</v>
      </c>
    </row>
    <row r="279" spans="1:5">
      <c r="A279" s="1" t="str">
        <f>"糖类抗原测定CA-50(化学发光法、荧光免疫法)"</f>
        <v>糖类抗原测定CA-50(化学发光法、荧光免疫法)</v>
      </c>
      <c r="B279" s="1">
        <v>50</v>
      </c>
      <c r="C279" s="1">
        <v>65</v>
      </c>
      <c r="D279" s="1" t="str">
        <f>"次"</f>
        <v>次</v>
      </c>
      <c r="E279" s="1" t="str">
        <f t="shared" si="38"/>
        <v>检验费</v>
      </c>
    </row>
    <row r="280" spans="1:5">
      <c r="A280" s="1" t="str">
        <f>"鳞状细胞癌相关抗原测定"</f>
        <v>鳞状细胞癌相关抗原测定</v>
      </c>
      <c r="B280" s="1">
        <v>50</v>
      </c>
      <c r="C280" s="1">
        <v>65</v>
      </c>
      <c r="D280" s="1" t="str">
        <f t="shared" ref="D280:D283" si="44">"项"</f>
        <v>项</v>
      </c>
      <c r="E280" s="1" t="str">
        <f t="shared" si="38"/>
        <v>检验费</v>
      </c>
    </row>
    <row r="281" spans="1:5">
      <c r="A281" s="1" t="str">
        <f>"肿瘤坏死因子测定(TNF)"</f>
        <v>肿瘤坏死因子测定(TNF)</v>
      </c>
      <c r="B281" s="1">
        <v>65</v>
      </c>
      <c r="C281" s="1">
        <v>65</v>
      </c>
      <c r="D281" s="1" t="str">
        <f t="shared" si="44"/>
        <v>项</v>
      </c>
      <c r="E281" s="1" t="str">
        <f t="shared" si="38"/>
        <v>检验费</v>
      </c>
    </row>
    <row r="282" spans="1:5">
      <c r="A282" s="1" t="str">
        <f>"铁蛋白测定各种发光法，定量测定"</f>
        <v>铁蛋白测定各种发光法，定量测定</v>
      </c>
      <c r="B282" s="1">
        <v>55</v>
      </c>
      <c r="C282" s="1">
        <v>55</v>
      </c>
      <c r="D282" s="1" t="str">
        <f t="shared" si="44"/>
        <v>项</v>
      </c>
      <c r="E282" s="1" t="str">
        <f t="shared" si="38"/>
        <v>检验费</v>
      </c>
    </row>
    <row r="283" spans="1:5">
      <c r="A283" s="1" t="str">
        <f>"恶性肿瘤特异生长因子（TSGF）测定"</f>
        <v>恶性肿瘤特异生长因子（TSGF）测定</v>
      </c>
      <c r="B283" s="1">
        <v>50</v>
      </c>
      <c r="C283" s="1">
        <v>65</v>
      </c>
      <c r="D283" s="1" t="str">
        <f t="shared" si="44"/>
        <v>项</v>
      </c>
      <c r="E283" s="1" t="str">
        <f t="shared" si="38"/>
        <v>检验费</v>
      </c>
    </row>
    <row r="284" spans="1:5">
      <c r="A284" s="1" t="str">
        <f>"人附睾蛋白4测定"</f>
        <v>人附睾蛋白4测定</v>
      </c>
      <c r="B284" s="1">
        <v>125</v>
      </c>
      <c r="C284" s="1">
        <v>125</v>
      </c>
      <c r="D284" s="1" t="str">
        <f>"次"</f>
        <v>次</v>
      </c>
      <c r="E284" s="1" t="str">
        <f t="shared" si="38"/>
        <v>检验费</v>
      </c>
    </row>
    <row r="285" spans="1:5">
      <c r="A285" s="1" t="str">
        <f>"总IgE测定(各种发光法，定量测定)"</f>
        <v>总IgE测定(各种发光法，定量测定)</v>
      </c>
      <c r="B285" s="1">
        <v>60</v>
      </c>
      <c r="C285" s="1">
        <v>60</v>
      </c>
      <c r="D285" s="1" t="str">
        <f t="shared" ref="D285:D289" si="45">"项"</f>
        <v>项</v>
      </c>
      <c r="E285" s="1" t="str">
        <f t="shared" si="38"/>
        <v>检验费</v>
      </c>
    </row>
    <row r="286" spans="1:5">
      <c r="A286" s="1" t="str">
        <f>"吸入物变应原筛查"</f>
        <v>吸入物变应原筛查</v>
      </c>
      <c r="B286" s="1">
        <v>30</v>
      </c>
      <c r="C286" s="1">
        <v>30</v>
      </c>
      <c r="D286" s="1" t="str">
        <f t="shared" si="45"/>
        <v>项</v>
      </c>
      <c r="E286" s="1" t="str">
        <f t="shared" si="38"/>
        <v>检验费</v>
      </c>
    </row>
    <row r="287" spans="1:5">
      <c r="A287" s="1" t="str">
        <f>"食入物变应原筛查"</f>
        <v>食入物变应原筛查</v>
      </c>
      <c r="B287" s="1">
        <v>30</v>
      </c>
      <c r="C287" s="1">
        <v>30</v>
      </c>
      <c r="D287" s="1" t="str">
        <f t="shared" si="45"/>
        <v>项</v>
      </c>
      <c r="E287" s="1" t="str">
        <f t="shared" si="38"/>
        <v>检验费</v>
      </c>
    </row>
    <row r="288" spans="1:5">
      <c r="A288" s="1" t="str">
        <f>"结核菌涂片检查"</f>
        <v>结核菌涂片检查</v>
      </c>
      <c r="B288" s="1">
        <v>10</v>
      </c>
      <c r="C288" s="1">
        <v>10</v>
      </c>
      <c r="D288" s="1" t="str">
        <f t="shared" si="45"/>
        <v>项</v>
      </c>
      <c r="E288" s="1" t="str">
        <f t="shared" si="38"/>
        <v>检验费</v>
      </c>
    </row>
    <row r="289" spans="1:5">
      <c r="A289" s="1" t="str">
        <f>"血液疟原虫检查"</f>
        <v>血液疟原虫检查</v>
      </c>
      <c r="B289" s="1" t="str">
        <f>"0"</f>
        <v>0</v>
      </c>
      <c r="C289" s="1" t="str">
        <f>"0"</f>
        <v>0</v>
      </c>
      <c r="D289" s="1" t="str">
        <f t="shared" si="45"/>
        <v>项</v>
      </c>
      <c r="E289" s="1" t="str">
        <f t="shared" si="38"/>
        <v>检验费</v>
      </c>
    </row>
    <row r="290" spans="1:5">
      <c r="A290" s="1" t="str">
        <f>"唐氏综合症筛查及唐氏综合症风险率计算"</f>
        <v>唐氏综合症筛查及唐氏综合症风险率计算</v>
      </c>
      <c r="B290" s="1">
        <v>110</v>
      </c>
      <c r="C290" s="1">
        <v>110</v>
      </c>
      <c r="D290" s="1" t="str">
        <f t="shared" ref="D290:D293" si="46">"次"</f>
        <v>次</v>
      </c>
      <c r="E290" s="1" t="str">
        <f t="shared" si="38"/>
        <v>检验费</v>
      </c>
    </row>
    <row r="291" spans="1:5">
      <c r="A291" s="1" t="str">
        <f>"ABO血型鉴定"</f>
        <v>ABO血型鉴定</v>
      </c>
      <c r="B291" s="1">
        <v>8</v>
      </c>
      <c r="C291" s="1">
        <v>8</v>
      </c>
      <c r="D291" s="1" t="str">
        <f t="shared" si="46"/>
        <v>次</v>
      </c>
      <c r="E291" s="1" t="str">
        <f t="shared" si="38"/>
        <v>检验费</v>
      </c>
    </row>
    <row r="292" spans="1:5">
      <c r="A292" s="1" t="str">
        <f>"ABO血型鉴定（正反定型）健康促进包"</f>
        <v>ABO血型鉴定（正反定型）健康促进包</v>
      </c>
      <c r="B292" s="1">
        <v>2</v>
      </c>
      <c r="C292" s="1">
        <v>2</v>
      </c>
      <c r="D292" s="1" t="str">
        <f t="shared" si="46"/>
        <v>次</v>
      </c>
      <c r="E292" s="1" t="str">
        <f t="shared" ref="E292:E297" si="47">"检查费"</f>
        <v>检查费</v>
      </c>
    </row>
    <row r="293" spans="1:5">
      <c r="A293" s="1" t="str">
        <f>"Rh血型鉴定"</f>
        <v>Rh血型鉴定</v>
      </c>
      <c r="B293" s="1">
        <v>10</v>
      </c>
      <c r="C293" s="1">
        <v>10</v>
      </c>
      <c r="D293" s="1" t="str">
        <f t="shared" si="46"/>
        <v>次</v>
      </c>
      <c r="E293" s="1" t="str">
        <f>"检验费"</f>
        <v>检验费</v>
      </c>
    </row>
    <row r="294" spans="1:5">
      <c r="A294" s="1" t="str">
        <f>"脱落细胞学检查与诊断(宫颈)"</f>
        <v>脱落细胞学检查与诊断(宫颈)</v>
      </c>
      <c r="B294" s="1">
        <v>105</v>
      </c>
      <c r="C294" s="1">
        <v>105</v>
      </c>
      <c r="D294" s="1" t="str">
        <f>"例"</f>
        <v>例</v>
      </c>
      <c r="E294" s="1" t="str">
        <f t="shared" ref="E294:E300" si="48">"病理检查"</f>
        <v>病理检查</v>
      </c>
    </row>
    <row r="295" spans="1:5">
      <c r="A295" s="1" t="str">
        <f>"全自动染色封片加收"</f>
        <v>全自动染色封片加收</v>
      </c>
      <c r="B295" s="1">
        <v>15</v>
      </c>
      <c r="C295" s="1">
        <v>15</v>
      </c>
      <c r="D295" s="1" t="str">
        <f>"每个"</f>
        <v>每个</v>
      </c>
      <c r="E295" s="1" t="str">
        <f t="shared" si="47"/>
        <v>检查费</v>
      </c>
    </row>
    <row r="296" spans="1:5">
      <c r="A296" s="1" t="str">
        <f>"局部切除组织活检检查与诊断"</f>
        <v>局部切除组织活检检查与诊断</v>
      </c>
      <c r="B296" s="1">
        <v>159</v>
      </c>
      <c r="C296" s="1">
        <v>159</v>
      </c>
      <c r="D296" s="1" t="str">
        <f>"每个部位"</f>
        <v>每个部位</v>
      </c>
      <c r="E296" s="1" t="str">
        <f t="shared" si="48"/>
        <v>病理检查</v>
      </c>
    </row>
    <row r="297" spans="1:5">
      <c r="A297" s="1" t="str">
        <f>"局部切除组织活检检查与诊断(切除组织)"</f>
        <v>局部切除组织活检检查与诊断(切除组织)</v>
      </c>
      <c r="B297" s="1">
        <v>159</v>
      </c>
      <c r="C297" s="1">
        <v>159</v>
      </c>
      <c r="D297" s="1" t="str">
        <f>"每个部位"</f>
        <v>每个部位</v>
      </c>
      <c r="E297" s="1" t="str">
        <f t="shared" si="47"/>
        <v>检查费</v>
      </c>
    </row>
    <row r="298" spans="1:5">
      <c r="A298" s="1" t="str">
        <f>"局部切除组织活检检查与诊断增加蜡块加收"</f>
        <v>局部切除组织活检检查与诊断增加蜡块加收</v>
      </c>
      <c r="B298" s="1">
        <v>10</v>
      </c>
      <c r="C298" s="1">
        <v>10</v>
      </c>
      <c r="D298" s="1" t="str">
        <f>"个"</f>
        <v>个</v>
      </c>
      <c r="E298" s="1" t="str">
        <f t="shared" si="48"/>
        <v>病理检查</v>
      </c>
    </row>
    <row r="299" spans="1:5">
      <c r="A299" s="1" t="str">
        <f>"病理图文报告"</f>
        <v>病理图文报告</v>
      </c>
      <c r="B299" s="1">
        <v>30</v>
      </c>
      <c r="C299" s="1">
        <v>30</v>
      </c>
      <c r="D299" s="1" t="str">
        <f t="shared" ref="D299:D304" si="49">"次"</f>
        <v>次</v>
      </c>
      <c r="E299" s="1" t="str">
        <f t="shared" si="48"/>
        <v>病理检查</v>
      </c>
    </row>
    <row r="300" spans="1:5">
      <c r="A300" s="1" t="str">
        <f>"液基薄层细胞制片术(TCT)"</f>
        <v>液基薄层细胞制片术(TCT)</v>
      </c>
      <c r="B300" s="1">
        <v>155</v>
      </c>
      <c r="C300" s="1">
        <v>155</v>
      </c>
      <c r="D300" s="1" t="str">
        <f t="shared" si="49"/>
        <v>次</v>
      </c>
      <c r="E300" s="1" t="str">
        <f t="shared" si="48"/>
        <v>病理检查</v>
      </c>
    </row>
    <row r="301" spans="1:5">
      <c r="A301" s="1" t="str">
        <f>"感觉阈值测量"</f>
        <v>感觉阈值测量</v>
      </c>
      <c r="B301" s="1">
        <v>26</v>
      </c>
      <c r="C301" s="1">
        <v>26</v>
      </c>
      <c r="D301" s="1" t="str">
        <f t="shared" si="49"/>
        <v>次</v>
      </c>
      <c r="E301" s="1" t="str">
        <f>"检查费"</f>
        <v>检查费</v>
      </c>
    </row>
    <row r="302" spans="1:5">
      <c r="A302" s="1" t="str">
        <f>"神经阻滞治疗"</f>
        <v>神经阻滞治疗</v>
      </c>
      <c r="B302" s="1">
        <v>65</v>
      </c>
      <c r="C302" s="1">
        <v>65</v>
      </c>
      <c r="D302" s="1" t="str">
        <f t="shared" si="49"/>
        <v>次</v>
      </c>
      <c r="E302" s="1" t="str">
        <f>"治疗费"</f>
        <v>治疗费</v>
      </c>
    </row>
    <row r="303" spans="1:5">
      <c r="A303" s="1" t="str">
        <f>"电脑血糖监测"</f>
        <v>电脑血糖监测</v>
      </c>
      <c r="B303" s="1">
        <v>5.2</v>
      </c>
      <c r="C303" s="1">
        <v>5.2</v>
      </c>
      <c r="D303" s="1" t="str">
        <f t="shared" si="49"/>
        <v>次</v>
      </c>
      <c r="E303" s="1" t="str">
        <f>"检验费"</f>
        <v>检验费</v>
      </c>
    </row>
    <row r="304" spans="1:5">
      <c r="A304" s="1" t="str">
        <f>"普通视力检查"</f>
        <v>普通视力检查</v>
      </c>
      <c r="B304" s="1">
        <v>5</v>
      </c>
      <c r="C304" s="1">
        <v>5</v>
      </c>
      <c r="D304" s="1" t="str">
        <f t="shared" si="49"/>
        <v>次</v>
      </c>
      <c r="E304" s="1" t="str">
        <f t="shared" ref="E304:E314" si="50">"检查费"</f>
        <v>检查费</v>
      </c>
    </row>
    <row r="305" spans="1:5">
      <c r="A305" s="1" t="str">
        <f>"特殊视力检查"</f>
        <v>特殊视力检查</v>
      </c>
      <c r="B305" s="1">
        <v>5</v>
      </c>
      <c r="C305" s="1">
        <v>5</v>
      </c>
      <c r="D305" s="1" t="str">
        <f>"项"</f>
        <v>项</v>
      </c>
      <c r="E305" s="1" t="str">
        <f t="shared" si="50"/>
        <v>检查费</v>
      </c>
    </row>
    <row r="306" spans="1:5">
      <c r="A306" s="1" t="str">
        <f>"选择性观看检查"</f>
        <v>选择性观看检查</v>
      </c>
      <c r="B306" s="1">
        <v>20</v>
      </c>
      <c r="C306" s="1">
        <v>20</v>
      </c>
      <c r="D306" s="1" t="str">
        <f t="shared" ref="D306:D308" si="51">"次"</f>
        <v>次</v>
      </c>
      <c r="E306" s="1" t="str">
        <f t="shared" si="50"/>
        <v>检查费</v>
      </c>
    </row>
    <row r="307" spans="1:5">
      <c r="A307" s="1" t="str">
        <f>"视网膜视力检查"</f>
        <v>视网膜视力检查</v>
      </c>
      <c r="B307" s="1">
        <v>26</v>
      </c>
      <c r="C307" s="1">
        <v>26</v>
      </c>
      <c r="D307" s="1" t="str">
        <f t="shared" si="51"/>
        <v>次</v>
      </c>
      <c r="E307" s="1" t="str">
        <f t="shared" si="50"/>
        <v>检查费</v>
      </c>
    </row>
    <row r="308" spans="1:5">
      <c r="A308" s="1" t="str">
        <f>"斜视度测定"</f>
        <v>斜视度测定</v>
      </c>
      <c r="B308" s="1">
        <v>18</v>
      </c>
      <c r="C308" s="1">
        <v>18</v>
      </c>
      <c r="D308" s="1" t="str">
        <f t="shared" si="51"/>
        <v>次</v>
      </c>
      <c r="E308" s="1" t="str">
        <f t="shared" si="50"/>
        <v>检查费</v>
      </c>
    </row>
    <row r="309" spans="1:5">
      <c r="A309" s="1" t="str">
        <f>"双眼视觉检查"</f>
        <v>双眼视觉检查</v>
      </c>
      <c r="B309" s="1">
        <v>18</v>
      </c>
      <c r="C309" s="1">
        <v>18</v>
      </c>
      <c r="D309" s="1" t="str">
        <f t="shared" ref="D309:D315" si="52">"次(双眼)"</f>
        <v>次(双眼)</v>
      </c>
      <c r="E309" s="1" t="str">
        <f t="shared" si="50"/>
        <v>检查费</v>
      </c>
    </row>
    <row r="310" spans="1:5">
      <c r="A310" s="1" t="str">
        <f>"色觉检查"</f>
        <v>色觉检查</v>
      </c>
      <c r="B310" s="1">
        <v>7</v>
      </c>
      <c r="C310" s="1">
        <v>7</v>
      </c>
      <c r="D310" s="1" t="str">
        <f>"次"</f>
        <v>次</v>
      </c>
      <c r="E310" s="1" t="str">
        <f t="shared" si="50"/>
        <v>检查费</v>
      </c>
    </row>
    <row r="311" spans="1:5">
      <c r="A311" s="1" t="str">
        <f>"色觉检查(驾照体检包)"</f>
        <v>色觉检查(驾照体检包)</v>
      </c>
      <c r="B311" s="1">
        <v>2</v>
      </c>
      <c r="C311" s="1">
        <v>2</v>
      </c>
      <c r="D311" s="1" t="str">
        <f t="shared" si="52"/>
        <v>次(双眼)</v>
      </c>
      <c r="E311" s="1" t="str">
        <f t="shared" si="50"/>
        <v>检查费</v>
      </c>
    </row>
    <row r="312" spans="1:5">
      <c r="A312" s="1" t="str">
        <f>"眼压检查（非接触眼压计法）"</f>
        <v>眼压检查（非接触眼压计法）</v>
      </c>
      <c r="B312" s="1">
        <v>13</v>
      </c>
      <c r="C312" s="1">
        <v>13</v>
      </c>
      <c r="D312" s="1" t="str">
        <f t="shared" si="52"/>
        <v>次(双眼)</v>
      </c>
      <c r="E312" s="1" t="str">
        <f t="shared" si="50"/>
        <v>检查费</v>
      </c>
    </row>
    <row r="313" spans="1:5">
      <c r="A313" s="1" t="str">
        <f>"泪膜破裂时间测定"</f>
        <v>泪膜破裂时间测定</v>
      </c>
      <c r="B313" s="1">
        <v>8</v>
      </c>
      <c r="C313" s="1">
        <v>8</v>
      </c>
      <c r="D313" s="1" t="str">
        <f t="shared" si="52"/>
        <v>次(双眼)</v>
      </c>
      <c r="E313" s="1" t="str">
        <f t="shared" si="50"/>
        <v>检查费</v>
      </c>
    </row>
    <row r="314" spans="1:5">
      <c r="A314" s="1" t="str">
        <f>"泪液分泌功能测定"</f>
        <v>泪液分泌功能测定</v>
      </c>
      <c r="B314" s="1">
        <v>5</v>
      </c>
      <c r="C314" s="1">
        <v>5</v>
      </c>
      <c r="D314" s="1" t="str">
        <f t="shared" si="52"/>
        <v>次(双眼)</v>
      </c>
      <c r="E314" s="1" t="str">
        <f t="shared" si="50"/>
        <v>检查费</v>
      </c>
    </row>
    <row r="315" spans="1:5">
      <c r="A315" s="1" t="str">
        <f>"泪道冲洗"</f>
        <v>泪道冲洗</v>
      </c>
      <c r="B315" s="1">
        <v>6</v>
      </c>
      <c r="C315" s="1">
        <v>6</v>
      </c>
      <c r="D315" s="1" t="str">
        <f t="shared" si="52"/>
        <v>次(双眼)</v>
      </c>
      <c r="E315" s="1" t="str">
        <f>"治疗费"</f>
        <v>治疗费</v>
      </c>
    </row>
    <row r="316" spans="1:5">
      <c r="A316" s="1" t="str">
        <f>"角膜荧光素染色检查"</f>
        <v>角膜荧光素染色检查</v>
      </c>
      <c r="B316" s="1">
        <v>8</v>
      </c>
      <c r="C316" s="1">
        <v>8</v>
      </c>
      <c r="D316" s="1" t="str">
        <f t="shared" ref="D316:D342" si="53">"次"</f>
        <v>次</v>
      </c>
      <c r="E316" s="1" t="str">
        <f t="shared" ref="E316:E321" si="54">"检查费"</f>
        <v>检查费</v>
      </c>
    </row>
    <row r="317" spans="1:5">
      <c r="A317" s="1" t="str">
        <f>"裂隙灯检查"</f>
        <v>裂隙灯检查</v>
      </c>
      <c r="B317" s="1">
        <v>6</v>
      </c>
      <c r="C317" s="1">
        <v>6</v>
      </c>
      <c r="D317" s="1" t="str">
        <f t="shared" si="53"/>
        <v>次</v>
      </c>
      <c r="E317" s="1" t="str">
        <f t="shared" si="54"/>
        <v>检查费</v>
      </c>
    </row>
    <row r="318" spans="1:5">
      <c r="A318" s="1" t="str">
        <f>"裂隙灯下眼底检查"</f>
        <v>裂隙灯下眼底检查</v>
      </c>
      <c r="B318" s="1">
        <v>13</v>
      </c>
      <c r="C318" s="1">
        <v>13</v>
      </c>
      <c r="D318" s="1" t="str">
        <f>"次(双眼)"</f>
        <v>次(双眼)</v>
      </c>
      <c r="E318" s="1" t="str">
        <f t="shared" si="54"/>
        <v>检查费</v>
      </c>
    </row>
    <row r="319" spans="1:5">
      <c r="A319" s="1" t="str">
        <f>"眼位照相"</f>
        <v>眼位照相</v>
      </c>
      <c r="B319" s="1">
        <v>26</v>
      </c>
      <c r="C319" s="1">
        <v>26</v>
      </c>
      <c r="D319" s="1" t="str">
        <f t="shared" si="53"/>
        <v>次</v>
      </c>
      <c r="E319" s="1" t="str">
        <f t="shared" si="54"/>
        <v>检查费</v>
      </c>
    </row>
    <row r="320" spans="1:5">
      <c r="A320" s="1" t="str">
        <f>"眼底照相"</f>
        <v>眼底照相</v>
      </c>
      <c r="B320" s="1">
        <v>35</v>
      </c>
      <c r="C320" s="1">
        <v>35</v>
      </c>
      <c r="D320" s="1" t="str">
        <f t="shared" si="53"/>
        <v>次</v>
      </c>
      <c r="E320" s="1" t="str">
        <f t="shared" si="54"/>
        <v>检查费</v>
      </c>
    </row>
    <row r="321" spans="1:5">
      <c r="A321" s="1" t="str">
        <f>"眼底检查"</f>
        <v>眼底检查</v>
      </c>
      <c r="B321" s="1">
        <v>8</v>
      </c>
      <c r="C321" s="1">
        <v>8</v>
      </c>
      <c r="D321" s="1" t="str">
        <f t="shared" si="53"/>
        <v>次</v>
      </c>
      <c r="E321" s="1" t="str">
        <f t="shared" si="54"/>
        <v>检查费</v>
      </c>
    </row>
    <row r="322" spans="1:5">
      <c r="A322" s="1" t="str">
        <f>"拔倒睫"</f>
        <v>拔倒睫</v>
      </c>
      <c r="B322" s="1">
        <v>13</v>
      </c>
      <c r="C322" s="1">
        <v>13</v>
      </c>
      <c r="D322" s="1" t="str">
        <f t="shared" si="53"/>
        <v>次</v>
      </c>
      <c r="E322" s="1" t="str">
        <f t="shared" ref="E322:E329" si="55">"治疗费"</f>
        <v>治疗费</v>
      </c>
    </row>
    <row r="323" spans="1:5">
      <c r="A323" s="1" t="str">
        <f>"睑板腺按摩"</f>
        <v>睑板腺按摩</v>
      </c>
      <c r="B323" s="1">
        <v>13</v>
      </c>
      <c r="C323" s="1">
        <v>13</v>
      </c>
      <c r="D323" s="1" t="str">
        <f t="shared" si="53"/>
        <v>次</v>
      </c>
      <c r="E323" s="1" t="str">
        <f t="shared" si="55"/>
        <v>治疗费</v>
      </c>
    </row>
    <row r="324" spans="1:5">
      <c r="A324" s="1" t="str">
        <f>"冲洗结膜囊"</f>
        <v>冲洗结膜囊</v>
      </c>
      <c r="B324" s="1">
        <v>5</v>
      </c>
      <c r="C324" s="1">
        <v>5</v>
      </c>
      <c r="D324" s="1" t="str">
        <f t="shared" si="53"/>
        <v>次</v>
      </c>
      <c r="E324" s="1" t="str">
        <f t="shared" si="55"/>
        <v>治疗费</v>
      </c>
    </row>
    <row r="325" spans="1:5">
      <c r="A325" s="1" t="str">
        <f>"取结膜结石"</f>
        <v>取结膜结石</v>
      </c>
      <c r="B325" s="1">
        <v>13</v>
      </c>
      <c r="C325" s="1">
        <v>13</v>
      </c>
      <c r="D325" s="1" t="str">
        <f t="shared" si="53"/>
        <v>次</v>
      </c>
      <c r="E325" s="1" t="str">
        <f t="shared" si="55"/>
        <v>治疗费</v>
      </c>
    </row>
    <row r="326" spans="1:5">
      <c r="A326" s="1" t="str">
        <f>"眼部脓肿切开引流术"</f>
        <v>眼部脓肿切开引流术</v>
      </c>
      <c r="B326" s="1">
        <v>65</v>
      </c>
      <c r="C326" s="1">
        <v>65</v>
      </c>
      <c r="D326" s="1" t="str">
        <f t="shared" si="53"/>
        <v>次</v>
      </c>
      <c r="E326" s="1" t="str">
        <f t="shared" si="55"/>
        <v>治疗费</v>
      </c>
    </row>
    <row r="327" spans="1:5">
      <c r="A327" s="1" t="str">
        <f>"角膜异物剔除术"</f>
        <v>角膜异物剔除术</v>
      </c>
      <c r="B327" s="1">
        <v>30</v>
      </c>
      <c r="C327" s="1">
        <v>30</v>
      </c>
      <c r="D327" s="1" t="str">
        <f t="shared" si="53"/>
        <v>次</v>
      </c>
      <c r="E327" s="1" t="str">
        <f t="shared" si="55"/>
        <v>治疗费</v>
      </c>
    </row>
    <row r="328" spans="1:5">
      <c r="A328" s="1" t="str">
        <f>"泪小点扩张"</f>
        <v>泪小点扩张</v>
      </c>
      <c r="B328" s="1">
        <v>13</v>
      </c>
      <c r="C328" s="1">
        <v>13</v>
      </c>
      <c r="D328" s="1" t="str">
        <f t="shared" si="53"/>
        <v>次</v>
      </c>
      <c r="E328" s="1" t="str">
        <f t="shared" si="55"/>
        <v>治疗费</v>
      </c>
    </row>
    <row r="329" spans="1:5">
      <c r="A329" s="1" t="str">
        <f>"泪道探通术"</f>
        <v>泪道探通术</v>
      </c>
      <c r="B329" s="1">
        <v>15</v>
      </c>
      <c r="C329" s="1">
        <v>15</v>
      </c>
      <c r="D329" s="1" t="str">
        <f t="shared" si="53"/>
        <v>次</v>
      </c>
      <c r="E329" s="1" t="str">
        <f t="shared" si="55"/>
        <v>治疗费</v>
      </c>
    </row>
    <row r="330" spans="1:5">
      <c r="A330" s="1" t="str">
        <f>"耳声发射检查"</f>
        <v>耳声发射检查</v>
      </c>
      <c r="B330" s="1">
        <v>130</v>
      </c>
      <c r="C330" s="1">
        <v>130</v>
      </c>
      <c r="D330" s="1" t="str">
        <f t="shared" si="53"/>
        <v>次</v>
      </c>
      <c r="E330" s="1" t="str">
        <f>"检查费"</f>
        <v>检查费</v>
      </c>
    </row>
    <row r="331" spans="1:5">
      <c r="A331" s="1" t="str">
        <f>"电耳镜检查"</f>
        <v>电耳镜检查</v>
      </c>
      <c r="B331" s="1">
        <v>2.6</v>
      </c>
      <c r="C331" s="1">
        <v>2.6</v>
      </c>
      <c r="D331" s="1" t="str">
        <f t="shared" si="53"/>
        <v>次</v>
      </c>
      <c r="E331" s="1" t="str">
        <f>"检查费"</f>
        <v>检查费</v>
      </c>
    </row>
    <row r="332" spans="1:5">
      <c r="A332" s="1" t="str">
        <f>"鼓膜穿刺术"</f>
        <v>鼓膜穿刺术</v>
      </c>
      <c r="B332" s="1">
        <v>39</v>
      </c>
      <c r="C332" s="1">
        <v>59</v>
      </c>
      <c r="D332" s="1" t="str">
        <f t="shared" si="53"/>
        <v>次</v>
      </c>
      <c r="E332" s="1" t="str">
        <f t="shared" ref="E332:E335" si="56">"治疗费"</f>
        <v>治疗费</v>
      </c>
    </row>
    <row r="333" spans="1:5">
      <c r="A333" s="1" t="str">
        <f>"耵聍冲洗"</f>
        <v>耵聍冲洗</v>
      </c>
      <c r="B333" s="1">
        <v>3.9</v>
      </c>
      <c r="C333" s="1">
        <v>3.9</v>
      </c>
      <c r="D333" s="1" t="str">
        <f t="shared" si="53"/>
        <v>次</v>
      </c>
      <c r="E333" s="1" t="str">
        <f t="shared" si="56"/>
        <v>治疗费</v>
      </c>
    </row>
    <row r="334" spans="1:5">
      <c r="A334" s="1" t="str">
        <f>"盯聍取出"</f>
        <v>盯聍取出</v>
      </c>
      <c r="B334" s="1">
        <v>13</v>
      </c>
      <c r="C334" s="1">
        <v>13</v>
      </c>
      <c r="D334" s="1" t="str">
        <f t="shared" si="53"/>
        <v>次</v>
      </c>
      <c r="E334" s="1" t="str">
        <f t="shared" si="56"/>
        <v>治疗费</v>
      </c>
    </row>
    <row r="335" spans="1:5">
      <c r="A335" s="1" t="str">
        <f>"耳部特殊治疗"</f>
        <v>耳部特殊治疗</v>
      </c>
      <c r="B335" s="1">
        <v>33</v>
      </c>
      <c r="C335" s="1">
        <v>62</v>
      </c>
      <c r="D335" s="1" t="str">
        <f t="shared" si="53"/>
        <v>次</v>
      </c>
      <c r="E335" s="1" t="str">
        <f t="shared" si="56"/>
        <v>治疗费</v>
      </c>
    </row>
    <row r="336" spans="1:5">
      <c r="A336" s="1" t="str">
        <f>"前鼻镜检查"</f>
        <v>前鼻镜检查</v>
      </c>
      <c r="B336" s="1">
        <v>3.9</v>
      </c>
      <c r="C336" s="1">
        <v>3.9</v>
      </c>
      <c r="D336" s="1" t="str">
        <f t="shared" si="53"/>
        <v>次</v>
      </c>
      <c r="E336" s="1" t="str">
        <f>"检查费"</f>
        <v>检查费</v>
      </c>
    </row>
    <row r="337" spans="1:5">
      <c r="A337" s="1" t="str">
        <f>"前鼻孔填塞"</f>
        <v>前鼻孔填塞</v>
      </c>
      <c r="B337" s="1">
        <v>33</v>
      </c>
      <c r="C337" s="1">
        <v>33</v>
      </c>
      <c r="D337" s="1" t="str">
        <f t="shared" si="53"/>
        <v>次</v>
      </c>
      <c r="E337" s="1" t="str">
        <f t="shared" ref="E337:E340" si="57">"治疗费"</f>
        <v>治疗费</v>
      </c>
    </row>
    <row r="338" spans="1:5">
      <c r="A338" s="1" t="str">
        <f>"后鼻孔填塞"</f>
        <v>后鼻孔填塞</v>
      </c>
      <c r="B338" s="1">
        <v>39</v>
      </c>
      <c r="C338" s="1">
        <v>39</v>
      </c>
      <c r="D338" s="1" t="str">
        <f t="shared" si="53"/>
        <v>次</v>
      </c>
      <c r="E338" s="1" t="str">
        <f t="shared" si="57"/>
        <v>治疗费</v>
      </c>
    </row>
    <row r="339" spans="1:5">
      <c r="A339" s="1" t="str">
        <f>"鼻异物取出"</f>
        <v>鼻异物取出</v>
      </c>
      <c r="B339" s="1">
        <v>20</v>
      </c>
      <c r="C339" s="1">
        <v>20</v>
      </c>
      <c r="D339" s="1" t="str">
        <f t="shared" si="53"/>
        <v>次</v>
      </c>
      <c r="E339" s="1" t="str">
        <f t="shared" si="57"/>
        <v>治疗费</v>
      </c>
    </row>
    <row r="340" spans="1:5">
      <c r="A340" s="1" t="str">
        <f>"鼻部特殊治疗"</f>
        <v>鼻部特殊治疗</v>
      </c>
      <c r="B340" s="1">
        <v>33</v>
      </c>
      <c r="C340" s="1">
        <v>33</v>
      </c>
      <c r="D340" s="1" t="str">
        <f t="shared" si="53"/>
        <v>次</v>
      </c>
      <c r="E340" s="1" t="str">
        <f t="shared" si="57"/>
        <v>治疗费</v>
      </c>
    </row>
    <row r="341" spans="1:5">
      <c r="A341" s="1" t="str">
        <f>"间接喉镜检查"</f>
        <v>间接喉镜检查</v>
      </c>
      <c r="B341" s="1">
        <v>7.8</v>
      </c>
      <c r="C341" s="1">
        <v>7.8</v>
      </c>
      <c r="D341" s="1" t="str">
        <f t="shared" si="53"/>
        <v>次</v>
      </c>
      <c r="E341" s="1" t="str">
        <f>"检查费"</f>
        <v>检查费</v>
      </c>
    </row>
    <row r="342" spans="1:5">
      <c r="A342" s="1" t="str">
        <f>"咽部特殊治疗"</f>
        <v>咽部特殊治疗</v>
      </c>
      <c r="B342" s="1">
        <v>33</v>
      </c>
      <c r="C342" s="1">
        <v>33</v>
      </c>
      <c r="D342" s="1" t="str">
        <f t="shared" si="53"/>
        <v>次</v>
      </c>
      <c r="E342" s="1" t="str">
        <f>"治疗费"</f>
        <v>治疗费</v>
      </c>
    </row>
    <row r="343" spans="1:5">
      <c r="A343" s="1" t="str">
        <f>"咽部特殊治疗（喉咽部异物取出）"</f>
        <v>咽部特殊治疗（喉咽部异物取出）</v>
      </c>
      <c r="B343" s="1">
        <v>39</v>
      </c>
      <c r="C343" s="1">
        <v>39</v>
      </c>
      <c r="D343" s="1" t="str">
        <f>"每次"</f>
        <v>每次</v>
      </c>
      <c r="E343" s="1" t="str">
        <f>"治疗费"</f>
        <v>治疗费</v>
      </c>
    </row>
    <row r="344" spans="1:5">
      <c r="A344" s="1" t="str">
        <f>"全口牙病系统检查与治疗设计"</f>
        <v>全口牙病系统检查与治疗设计</v>
      </c>
      <c r="B344" s="1">
        <v>12</v>
      </c>
      <c r="C344" s="1">
        <v>12</v>
      </c>
      <c r="D344" s="1" t="str">
        <f t="shared" ref="D344:D348" si="58">"次"</f>
        <v>次</v>
      </c>
      <c r="E344" s="1" t="str">
        <f t="shared" ref="E344:E348" si="59">"检查费"</f>
        <v>检查费</v>
      </c>
    </row>
    <row r="345" spans="1:5">
      <c r="A345" s="1" t="str">
        <f>"牙周专业检查加收"</f>
        <v>牙周专业检查加收</v>
      </c>
      <c r="B345" s="1">
        <v>6</v>
      </c>
      <c r="C345" s="1">
        <v>6</v>
      </c>
      <c r="D345" s="1" t="str">
        <f>"每牙"</f>
        <v>每牙</v>
      </c>
      <c r="E345" s="1" t="str">
        <f>"治疗费"</f>
        <v>治疗费</v>
      </c>
    </row>
    <row r="346" spans="1:5">
      <c r="A346" s="1" t="str">
        <f>"咬合检查"</f>
        <v>咬合检查</v>
      </c>
      <c r="B346" s="1">
        <v>2.4</v>
      </c>
      <c r="C346" s="1">
        <v>2.4</v>
      </c>
      <c r="D346" s="1" t="str">
        <f t="shared" si="58"/>
        <v>次</v>
      </c>
      <c r="E346" s="1" t="str">
        <f t="shared" si="59"/>
        <v>检查费</v>
      </c>
    </row>
    <row r="347" spans="1:5">
      <c r="A347" s="1" t="str">
        <f>"颌力测量检查"</f>
        <v>颌力测量检查</v>
      </c>
      <c r="B347" s="1">
        <v>12</v>
      </c>
      <c r="C347" s="1">
        <v>12</v>
      </c>
      <c r="D347" s="1" t="str">
        <f t="shared" si="58"/>
        <v>次</v>
      </c>
      <c r="E347" s="1" t="str">
        <f>"治疗费"</f>
        <v>治疗费</v>
      </c>
    </row>
    <row r="348" spans="1:5">
      <c r="A348" s="1" t="str">
        <f>"咀嚼功能检查"</f>
        <v>咀嚼功能检查</v>
      </c>
      <c r="B348" s="1">
        <v>6</v>
      </c>
      <c r="C348" s="1">
        <v>6</v>
      </c>
      <c r="D348" s="1" t="str">
        <f t="shared" si="58"/>
        <v>次</v>
      </c>
      <c r="E348" s="1" t="str">
        <f t="shared" si="59"/>
        <v>检查费</v>
      </c>
    </row>
    <row r="349" spans="1:5">
      <c r="A349" s="1" t="str">
        <f>"口腔模型制备"</f>
        <v>口腔模型制备</v>
      </c>
      <c r="B349" s="1">
        <v>24</v>
      </c>
      <c r="C349" s="1">
        <v>24</v>
      </c>
      <c r="D349" s="1" t="str">
        <f>"单颌"</f>
        <v>单颌</v>
      </c>
      <c r="E349" s="1" t="str">
        <f>"治疗费"</f>
        <v>治疗费</v>
      </c>
    </row>
    <row r="350" spans="1:5">
      <c r="A350" s="1" t="str">
        <f>"口腔内镜检查"</f>
        <v>口腔内镜检查</v>
      </c>
      <c r="B350" s="1">
        <v>12</v>
      </c>
      <c r="C350" s="1">
        <v>12</v>
      </c>
      <c r="D350" s="1" t="str">
        <f t="shared" ref="D350:D353" si="60">"每牙"</f>
        <v>每牙</v>
      </c>
      <c r="E350" s="1" t="str">
        <f t="shared" ref="E350:E352" si="61">"检查费"</f>
        <v>检查费</v>
      </c>
    </row>
    <row r="351" spans="1:5">
      <c r="A351" s="1" t="str">
        <f>"牙髓活力检查"</f>
        <v>牙髓活力检查</v>
      </c>
      <c r="B351" s="1">
        <v>2.4</v>
      </c>
      <c r="C351" s="1">
        <v>2.4</v>
      </c>
      <c r="D351" s="1" t="str">
        <f t="shared" si="60"/>
        <v>每牙</v>
      </c>
      <c r="E351" s="1" t="str">
        <f t="shared" si="61"/>
        <v>检查费</v>
      </c>
    </row>
    <row r="352" spans="1:5">
      <c r="A352" s="1" t="str">
        <f>"根管长度测量"</f>
        <v>根管长度测量</v>
      </c>
      <c r="B352" s="1">
        <v>4.8</v>
      </c>
      <c r="C352" s="1">
        <v>4.8</v>
      </c>
      <c r="D352" s="1" t="str">
        <f>"每根管"</f>
        <v>每根管</v>
      </c>
      <c r="E352" s="1" t="str">
        <f t="shared" si="61"/>
        <v>检查费</v>
      </c>
    </row>
    <row r="353" spans="1:5">
      <c r="A353" s="1" t="str">
        <f>"口腔X线一次成像(RVG)"</f>
        <v>口腔X线一次成像(RVG)</v>
      </c>
      <c r="B353" s="1">
        <v>36</v>
      </c>
      <c r="C353" s="1">
        <v>36</v>
      </c>
      <c r="D353" s="1" t="str">
        <f t="shared" si="60"/>
        <v>每牙</v>
      </c>
      <c r="E353" s="1" t="str">
        <f>"放射费"</f>
        <v>放射费</v>
      </c>
    </row>
    <row r="354" spans="1:5">
      <c r="A354" s="1" t="str">
        <f>"咬合动度测定"</f>
        <v>咬合动度测定</v>
      </c>
      <c r="B354" s="1">
        <v>2.4</v>
      </c>
      <c r="C354" s="1">
        <v>2.4</v>
      </c>
      <c r="D354" s="1" t="str">
        <f>"次"</f>
        <v>次</v>
      </c>
      <c r="E354" s="1" t="str">
        <f>"检查费"</f>
        <v>检查费</v>
      </c>
    </row>
    <row r="355" spans="1:5">
      <c r="A355" s="1" t="str">
        <f>"龈上菌斑检查"</f>
        <v>龈上菌斑检查</v>
      </c>
      <c r="B355" s="1">
        <v>6</v>
      </c>
      <c r="C355" s="1">
        <v>6</v>
      </c>
      <c r="D355" s="1" t="str">
        <f>"次"</f>
        <v>次</v>
      </c>
      <c r="E355" s="1" t="str">
        <f>"检查费"</f>
        <v>检查费</v>
      </c>
    </row>
    <row r="356" spans="1:5">
      <c r="A356" s="1" t="str">
        <f>"唇弓制备"</f>
        <v>唇弓制备</v>
      </c>
      <c r="B356" s="1">
        <v>18</v>
      </c>
      <c r="C356" s="1">
        <v>18</v>
      </c>
      <c r="D356" s="1" t="str">
        <f>"根"</f>
        <v>根</v>
      </c>
      <c r="E356" s="1" t="str">
        <f t="shared" ref="E356:E358" si="62">"治疗费"</f>
        <v>治疗费</v>
      </c>
    </row>
    <row r="357" spans="1:5">
      <c r="A357" s="1" t="str">
        <f>"调合"</f>
        <v>调合</v>
      </c>
      <c r="B357" s="1">
        <v>3.6</v>
      </c>
      <c r="C357" s="1">
        <v>3.6</v>
      </c>
      <c r="D357" s="1" t="str">
        <f t="shared" ref="D357:D363" si="63">"每牙"</f>
        <v>每牙</v>
      </c>
      <c r="E357" s="1" t="str">
        <f t="shared" si="62"/>
        <v>治疗费</v>
      </c>
    </row>
    <row r="358" spans="1:5">
      <c r="A358" s="1" t="str">
        <f>"牙脱敏治疗"</f>
        <v>牙脱敏治疗</v>
      </c>
      <c r="B358" s="1">
        <v>3.6</v>
      </c>
      <c r="C358" s="1">
        <v>3.6</v>
      </c>
      <c r="D358" s="1" t="str">
        <f t="shared" si="63"/>
        <v>每牙</v>
      </c>
      <c r="E358" s="1" t="str">
        <f t="shared" si="62"/>
        <v>治疗费</v>
      </c>
    </row>
    <row r="359" spans="1:5">
      <c r="A359" s="1" t="str">
        <f>"牙脱敏治疗(使用激光脱敏仪)"</f>
        <v>牙脱敏治疗(使用激光脱敏仪)</v>
      </c>
      <c r="B359" s="1">
        <v>6</v>
      </c>
      <c r="C359" s="1">
        <v>6</v>
      </c>
      <c r="D359" s="1" t="str">
        <f t="shared" si="63"/>
        <v>每牙</v>
      </c>
      <c r="E359" s="1" t="str">
        <f t="shared" ref="E359:E366" si="64">"治疗费"</f>
        <v>治疗费</v>
      </c>
    </row>
    <row r="360" spans="1:5">
      <c r="A360" s="1" t="str">
        <f>"口腔局部冲洗上药"</f>
        <v>口腔局部冲洗上药</v>
      </c>
      <c r="B360" s="1">
        <v>1.2</v>
      </c>
      <c r="C360" s="1">
        <v>1.2</v>
      </c>
      <c r="D360" s="1" t="str">
        <f t="shared" si="63"/>
        <v>每牙</v>
      </c>
      <c r="E360" s="1" t="str">
        <f t="shared" si="64"/>
        <v>治疗费</v>
      </c>
    </row>
    <row r="361" spans="1:5">
      <c r="A361" s="1" t="str">
        <f>"不良修复体拆除"</f>
        <v>不良修复体拆除</v>
      </c>
      <c r="B361" s="1">
        <v>4.8</v>
      </c>
      <c r="C361" s="1">
        <v>5.5</v>
      </c>
      <c r="D361" s="1" t="str">
        <f t="shared" si="63"/>
        <v>每牙</v>
      </c>
      <c r="E361" s="1" t="str">
        <f t="shared" si="64"/>
        <v>治疗费</v>
      </c>
    </row>
    <row r="362" spans="1:5">
      <c r="A362" s="1" t="str">
        <f>"牙开窗助萌术"</f>
        <v>牙开窗助萌术</v>
      </c>
      <c r="B362" s="1">
        <v>36</v>
      </c>
      <c r="C362" s="1">
        <v>36</v>
      </c>
      <c r="D362" s="1" t="str">
        <f t="shared" si="63"/>
        <v>每牙</v>
      </c>
      <c r="E362" s="1" t="str">
        <f t="shared" si="64"/>
        <v>治疗费</v>
      </c>
    </row>
    <row r="363" spans="1:5">
      <c r="A363" s="1" t="str">
        <f>"口腔局部止血"</f>
        <v>口腔局部止血</v>
      </c>
      <c r="B363" s="1">
        <v>12</v>
      </c>
      <c r="C363" s="1">
        <v>12</v>
      </c>
      <c r="D363" s="1" t="str">
        <f t="shared" si="63"/>
        <v>每牙</v>
      </c>
      <c r="E363" s="1" t="str">
        <f t="shared" si="64"/>
        <v>治疗费</v>
      </c>
    </row>
    <row r="364" spans="1:5">
      <c r="A364" s="1" t="str">
        <f>"口内脓肿切开引流术"</f>
        <v>口内脓肿切开引流术</v>
      </c>
      <c r="B364" s="1">
        <v>9.6</v>
      </c>
      <c r="C364" s="1">
        <v>11</v>
      </c>
      <c r="D364" s="1" t="str">
        <f>"例"</f>
        <v>例</v>
      </c>
      <c r="E364" s="1" t="str">
        <f t="shared" si="64"/>
        <v>治疗费</v>
      </c>
    </row>
    <row r="365" spans="1:5">
      <c r="A365" s="1" t="str">
        <f>"牙外伤结扎固定术"</f>
        <v>牙外伤结扎固定术</v>
      </c>
      <c r="B365" s="1">
        <v>36</v>
      </c>
      <c r="C365" s="1">
        <v>40</v>
      </c>
      <c r="D365" s="1" t="str">
        <f t="shared" ref="D365:D374" si="65">"每牙"</f>
        <v>每牙</v>
      </c>
      <c r="E365" s="1" t="str">
        <f t="shared" si="64"/>
        <v>治疗费</v>
      </c>
    </row>
    <row r="366" spans="1:5">
      <c r="A366" s="1" t="str">
        <f>"简单充填术"</f>
        <v>简单充填术</v>
      </c>
      <c r="B366" s="1">
        <v>14</v>
      </c>
      <c r="C366" s="1">
        <v>14</v>
      </c>
      <c r="D366" s="1" t="str">
        <f t="shared" si="65"/>
        <v>每牙</v>
      </c>
      <c r="E366" s="1" t="str">
        <f t="shared" si="64"/>
        <v>治疗费</v>
      </c>
    </row>
    <row r="367" spans="1:5">
      <c r="A367" s="1" t="str">
        <f>"复杂充填术"</f>
        <v>复杂充填术</v>
      </c>
      <c r="B367" s="1">
        <v>18</v>
      </c>
      <c r="C367" s="1">
        <v>22</v>
      </c>
      <c r="D367" s="1" t="str">
        <f t="shared" si="65"/>
        <v>每牙</v>
      </c>
      <c r="E367" s="1" t="str">
        <f t="shared" ref="E367:E369" si="66">"治疗费"</f>
        <v>治疗费</v>
      </c>
    </row>
    <row r="368" spans="1:5">
      <c r="A368" s="1" t="str">
        <f>"牙体桩钉固位修复术"</f>
        <v>牙体桩钉固位修复术</v>
      </c>
      <c r="B368" s="1">
        <v>22</v>
      </c>
      <c r="C368" s="1">
        <v>22</v>
      </c>
      <c r="D368" s="1" t="str">
        <f t="shared" si="65"/>
        <v>每牙</v>
      </c>
      <c r="E368" s="1" t="str">
        <f t="shared" si="66"/>
        <v>治疗费</v>
      </c>
    </row>
    <row r="369" spans="1:5">
      <c r="A369" s="1" t="str">
        <f>"牙体缺损粘接修复术"</f>
        <v>牙体缺损粘接修复术</v>
      </c>
      <c r="B369" s="1">
        <v>22</v>
      </c>
      <c r="C369" s="1">
        <v>24</v>
      </c>
      <c r="D369" s="1" t="str">
        <f t="shared" si="65"/>
        <v>每牙</v>
      </c>
      <c r="E369" s="1" t="str">
        <f t="shared" si="66"/>
        <v>治疗费</v>
      </c>
    </row>
    <row r="370" spans="1:5">
      <c r="A370" s="1" t="str">
        <f>"树脂嵌体修复术"</f>
        <v>树脂嵌体修复术</v>
      </c>
      <c r="B370" s="1">
        <v>24</v>
      </c>
      <c r="C370" s="1">
        <v>24</v>
      </c>
      <c r="D370" s="1" t="str">
        <f t="shared" si="65"/>
        <v>每牙</v>
      </c>
      <c r="E370" s="1" t="str">
        <f t="shared" ref="E370:E376" si="67">"治疗费"</f>
        <v>治疗费</v>
      </c>
    </row>
    <row r="371" spans="1:5">
      <c r="A371" s="1" t="str">
        <f>"盖髓术"</f>
        <v>盖髓术</v>
      </c>
      <c r="B371" s="1">
        <v>4.8</v>
      </c>
      <c r="C371" s="1">
        <v>5.4</v>
      </c>
      <c r="D371" s="1" t="str">
        <f t="shared" si="65"/>
        <v>每牙</v>
      </c>
      <c r="E371" s="1" t="str">
        <f t="shared" si="67"/>
        <v>治疗费</v>
      </c>
    </row>
    <row r="372" spans="1:5">
      <c r="A372" s="1" t="str">
        <f>"牙髓失活术"</f>
        <v>牙髓失活术</v>
      </c>
      <c r="B372" s="1">
        <v>24</v>
      </c>
      <c r="C372" s="1">
        <v>24</v>
      </c>
      <c r="D372" s="1" t="str">
        <f t="shared" si="65"/>
        <v>每牙</v>
      </c>
      <c r="E372" s="1" t="str">
        <f t="shared" si="67"/>
        <v>治疗费</v>
      </c>
    </row>
    <row r="373" spans="1:5">
      <c r="A373" s="1" t="str">
        <f>"开髓引流术"</f>
        <v>开髓引流术</v>
      </c>
      <c r="B373" s="1">
        <v>24</v>
      </c>
      <c r="C373" s="1">
        <v>24</v>
      </c>
      <c r="D373" s="1" t="str">
        <f t="shared" si="65"/>
        <v>每牙</v>
      </c>
      <c r="E373" s="1" t="str">
        <f t="shared" si="67"/>
        <v>治疗费</v>
      </c>
    </row>
    <row r="374" spans="1:5">
      <c r="A374" s="1" t="str">
        <f>"干髓术"</f>
        <v>干髓术</v>
      </c>
      <c r="B374" s="1">
        <v>12</v>
      </c>
      <c r="C374" s="1">
        <v>12</v>
      </c>
      <c r="D374" s="1" t="str">
        <f t="shared" si="65"/>
        <v>每牙</v>
      </c>
      <c r="E374" s="1" t="str">
        <f t="shared" si="67"/>
        <v>治疗费</v>
      </c>
    </row>
    <row r="375" spans="1:5">
      <c r="A375" s="1" t="str">
        <f>"牙髓摘除术"</f>
        <v>牙髓摘除术</v>
      </c>
      <c r="B375" s="1">
        <v>12</v>
      </c>
      <c r="C375" s="1">
        <v>12</v>
      </c>
      <c r="D375" s="1" t="str">
        <f>"每根管"</f>
        <v>每根管</v>
      </c>
      <c r="E375" s="1" t="str">
        <f t="shared" si="67"/>
        <v>治疗费</v>
      </c>
    </row>
    <row r="376" spans="1:5">
      <c r="A376" s="1" t="str">
        <f>"根管预备"</f>
        <v>根管预备</v>
      </c>
      <c r="B376" s="1">
        <v>30</v>
      </c>
      <c r="C376" s="1">
        <v>30</v>
      </c>
      <c r="D376" s="1" t="str">
        <f>"每根管"</f>
        <v>每根管</v>
      </c>
      <c r="E376" s="1" t="str">
        <f t="shared" si="67"/>
        <v>治疗费</v>
      </c>
    </row>
    <row r="377" spans="1:5">
      <c r="A377" s="1" t="str">
        <f>"根管充填术"</f>
        <v>根管充填术</v>
      </c>
      <c r="B377" s="1">
        <v>30</v>
      </c>
      <c r="C377" s="1">
        <v>30</v>
      </c>
      <c r="D377" s="1" t="str">
        <f>"每根管"</f>
        <v>每根管</v>
      </c>
      <c r="E377" s="1" t="str">
        <f>"治疗费"</f>
        <v>治疗费</v>
      </c>
    </row>
    <row r="378" spans="1:5">
      <c r="A378" s="1" t="str">
        <f>"根管充填术（使用特殊仪器）"</f>
        <v>根管充填术（使用特殊仪器）</v>
      </c>
      <c r="B378" s="1">
        <v>42</v>
      </c>
      <c r="C378" s="1">
        <v>42</v>
      </c>
      <c r="D378" s="1" t="str">
        <f t="shared" ref="D378:D383" si="68">"每根管"</f>
        <v>每根管</v>
      </c>
      <c r="E378" s="1" t="str">
        <f t="shared" ref="E378:E384" si="69">"治疗费"</f>
        <v>治疗费</v>
      </c>
    </row>
    <row r="379" spans="1:5">
      <c r="A379" s="1" t="str">
        <f>"根管热塑牙胶垂直加压充填术"</f>
        <v>根管热塑牙胶垂直加压充填术</v>
      </c>
      <c r="B379" s="1">
        <v>75</v>
      </c>
      <c r="C379" s="1">
        <v>75</v>
      </c>
      <c r="D379" s="1" t="str">
        <f t="shared" si="68"/>
        <v>每根管</v>
      </c>
      <c r="E379" s="1" t="str">
        <f t="shared" si="69"/>
        <v>治疗费</v>
      </c>
    </row>
    <row r="380" spans="1:5">
      <c r="A380" s="1" t="str">
        <f>"髓腔消毒术"</f>
        <v>髓腔消毒术</v>
      </c>
      <c r="B380" s="1">
        <v>12</v>
      </c>
      <c r="C380" s="1">
        <v>12</v>
      </c>
      <c r="D380" s="1" t="str">
        <f t="shared" si="68"/>
        <v>每根管</v>
      </c>
      <c r="E380" s="1" t="str">
        <f t="shared" si="69"/>
        <v>治疗费</v>
      </c>
    </row>
    <row r="381" spans="1:5">
      <c r="A381" s="1" t="str">
        <f>"根管消毒术"</f>
        <v>根管消毒术</v>
      </c>
      <c r="B381" s="1">
        <v>12</v>
      </c>
      <c r="C381" s="1">
        <v>12</v>
      </c>
      <c r="D381" s="1" t="str">
        <f t="shared" si="68"/>
        <v>每根管</v>
      </c>
      <c r="E381" s="1" t="str">
        <f t="shared" si="69"/>
        <v>治疗费</v>
      </c>
    </row>
    <row r="382" spans="1:5">
      <c r="A382" s="1" t="str">
        <f>"牙髓塑化治疗术"</f>
        <v>牙髓塑化治疗术</v>
      </c>
      <c r="B382" s="1">
        <v>36</v>
      </c>
      <c r="C382" s="1">
        <v>36</v>
      </c>
      <c r="D382" s="1" t="str">
        <f t="shared" si="68"/>
        <v>每根管</v>
      </c>
      <c r="E382" s="1" t="str">
        <f t="shared" si="69"/>
        <v>治疗费</v>
      </c>
    </row>
    <row r="383" spans="1:5">
      <c r="A383" s="1" t="str">
        <f>"根管再治疗术"</f>
        <v>根管再治疗术</v>
      </c>
      <c r="B383" s="1">
        <v>40</v>
      </c>
      <c r="C383" s="1">
        <v>40</v>
      </c>
      <c r="D383" s="1" t="str">
        <f t="shared" si="68"/>
        <v>每根管</v>
      </c>
      <c r="E383" s="1" t="str">
        <f t="shared" si="69"/>
        <v>治疗费</v>
      </c>
    </row>
    <row r="384" spans="1:5">
      <c r="A384" s="1" t="str">
        <f>"根管扩通术"</f>
        <v>根管扩通术</v>
      </c>
      <c r="B384" s="1">
        <v>40</v>
      </c>
      <c r="C384" s="1">
        <v>40</v>
      </c>
      <c r="D384" s="1" t="str">
        <f>"项"</f>
        <v>项</v>
      </c>
      <c r="E384" s="1" t="str">
        <f t="shared" si="69"/>
        <v>治疗费</v>
      </c>
    </row>
    <row r="385" spans="1:5">
      <c r="A385" s="1" t="str">
        <f>"牙槽骨烧伤清创术"</f>
        <v>牙槽骨烧伤清创术</v>
      </c>
      <c r="B385" s="1">
        <v>24</v>
      </c>
      <c r="C385" s="1">
        <v>24</v>
      </c>
      <c r="D385" s="1" t="str">
        <f>"次"</f>
        <v>次</v>
      </c>
      <c r="E385" s="1" t="str">
        <f>"手术费"</f>
        <v>手术费</v>
      </c>
    </row>
    <row r="386" spans="1:5">
      <c r="A386" s="1" t="str">
        <f>"根管内固定术"</f>
        <v>根管内固定术</v>
      </c>
      <c r="B386" s="1">
        <v>36</v>
      </c>
      <c r="C386" s="1">
        <v>36</v>
      </c>
      <c r="D386" s="1" t="str">
        <f>"每根管"</f>
        <v>每根管</v>
      </c>
      <c r="E386" s="1" t="str">
        <f t="shared" ref="E386:E399" si="70">"治疗费"</f>
        <v>治疗费</v>
      </c>
    </row>
    <row r="387" spans="1:5">
      <c r="A387" s="1" t="str">
        <f>"后牙纵折固定术"</f>
        <v>后牙纵折固定术</v>
      </c>
      <c r="B387" s="1">
        <v>7.2</v>
      </c>
      <c r="C387" s="1">
        <v>7.2</v>
      </c>
      <c r="D387" s="1" t="str">
        <f t="shared" ref="D387:D402" si="71">"每牙"</f>
        <v>每牙</v>
      </c>
      <c r="E387" s="1" t="str">
        <f t="shared" si="70"/>
        <v>治疗费</v>
      </c>
    </row>
    <row r="388" spans="1:5">
      <c r="A388" s="1" t="str">
        <f>"根尖诱导成形术"</f>
        <v>根尖诱导成形术</v>
      </c>
      <c r="B388" s="1">
        <v>48</v>
      </c>
      <c r="C388" s="1">
        <v>48</v>
      </c>
      <c r="D388" s="1" t="str">
        <f>"每根管"</f>
        <v>每根管</v>
      </c>
      <c r="E388" s="1" t="str">
        <f t="shared" si="70"/>
        <v>治疗费</v>
      </c>
    </row>
    <row r="389" spans="1:5">
      <c r="A389" s="1" t="str">
        <f>"窝沟封闭"</f>
        <v>窝沟封闭</v>
      </c>
      <c r="B389" s="1">
        <v>24</v>
      </c>
      <c r="C389" s="1">
        <v>24</v>
      </c>
      <c r="D389" s="1" t="str">
        <f t="shared" si="71"/>
        <v>每牙</v>
      </c>
      <c r="E389" s="1" t="str">
        <f t="shared" si="70"/>
        <v>治疗费</v>
      </c>
    </row>
    <row r="390" spans="1:5">
      <c r="A390" s="1" t="str">
        <f>"乳牙预成冠修复"</f>
        <v>乳牙预成冠修复</v>
      </c>
      <c r="B390" s="1">
        <v>84</v>
      </c>
      <c r="C390" s="1">
        <v>84</v>
      </c>
      <c r="D390" s="1" t="str">
        <f t="shared" si="71"/>
        <v>每牙</v>
      </c>
      <c r="E390" s="1" t="str">
        <f t="shared" si="70"/>
        <v>治疗费</v>
      </c>
    </row>
    <row r="391" spans="1:5">
      <c r="A391" s="1" t="str">
        <f>"儿童前牙树脂冠修复"</f>
        <v>儿童前牙树脂冠修复</v>
      </c>
      <c r="B391" s="1">
        <v>9.6</v>
      </c>
      <c r="C391" s="1">
        <v>11</v>
      </c>
      <c r="D391" s="1" t="str">
        <f t="shared" si="71"/>
        <v>每牙</v>
      </c>
      <c r="E391" s="1" t="str">
        <f t="shared" si="70"/>
        <v>治疗费</v>
      </c>
    </row>
    <row r="392" spans="1:5">
      <c r="A392" s="1" t="str">
        <f>"前牙根折根牵引"</f>
        <v>前牙根折根牵引</v>
      </c>
      <c r="B392" s="1">
        <v>78</v>
      </c>
      <c r="C392" s="1">
        <v>78</v>
      </c>
      <c r="D392" s="1" t="str">
        <f t="shared" si="71"/>
        <v>每牙</v>
      </c>
      <c r="E392" s="1" t="str">
        <f t="shared" si="70"/>
        <v>治疗费</v>
      </c>
    </row>
    <row r="393" spans="1:5">
      <c r="A393" s="1" t="str">
        <f>"活髓切断术"</f>
        <v>活髓切断术</v>
      </c>
      <c r="B393" s="1">
        <v>12</v>
      </c>
      <c r="C393" s="1">
        <v>13</v>
      </c>
      <c r="D393" s="1" t="str">
        <f t="shared" si="71"/>
        <v>每牙</v>
      </c>
      <c r="E393" s="1" t="str">
        <f t="shared" si="70"/>
        <v>治疗费</v>
      </c>
    </row>
    <row r="394" spans="1:5">
      <c r="A394" s="1" t="str">
        <f>"洁治"</f>
        <v>洁治</v>
      </c>
      <c r="B394" s="1">
        <v>2.4</v>
      </c>
      <c r="C394" s="1">
        <v>2.7</v>
      </c>
      <c r="D394" s="1" t="str">
        <f t="shared" si="71"/>
        <v>每牙</v>
      </c>
      <c r="E394" s="1" t="str">
        <f t="shared" si="70"/>
        <v>治疗费</v>
      </c>
    </row>
    <row r="395" spans="1:5">
      <c r="A395" s="1" t="str">
        <f>"龈下刮治"</f>
        <v>龈下刮治</v>
      </c>
      <c r="B395" s="1">
        <v>2.4</v>
      </c>
      <c r="C395" s="1">
        <v>3.6</v>
      </c>
      <c r="D395" s="1" t="str">
        <f t="shared" si="71"/>
        <v>每牙</v>
      </c>
      <c r="E395" s="1" t="str">
        <f t="shared" si="70"/>
        <v>治疗费</v>
      </c>
    </row>
    <row r="396" spans="1:5">
      <c r="A396" s="1" t="str">
        <f>"牙周固定"</f>
        <v>牙周固定</v>
      </c>
      <c r="B396" s="1">
        <v>7.2</v>
      </c>
      <c r="C396" s="1">
        <v>7.2</v>
      </c>
      <c r="D396" s="1" t="str">
        <f t="shared" si="71"/>
        <v>每牙</v>
      </c>
      <c r="E396" s="1" t="str">
        <f t="shared" si="70"/>
        <v>治疗费</v>
      </c>
    </row>
    <row r="397" spans="1:5">
      <c r="A397" s="1" t="str">
        <f>"去除牙周固定"</f>
        <v>去除牙周固定</v>
      </c>
      <c r="B397" s="1">
        <v>3.6</v>
      </c>
      <c r="C397" s="1">
        <v>3.6</v>
      </c>
      <c r="D397" s="1" t="str">
        <f t="shared" si="71"/>
        <v>每牙</v>
      </c>
      <c r="E397" s="1" t="str">
        <f t="shared" si="70"/>
        <v>治疗费</v>
      </c>
    </row>
    <row r="398" spans="1:5">
      <c r="A398" s="1" t="str">
        <f>"牙面光洁术"</f>
        <v>牙面光洁术</v>
      </c>
      <c r="B398" s="1">
        <v>1.2</v>
      </c>
      <c r="C398" s="1">
        <v>1.2</v>
      </c>
      <c r="D398" s="1" t="str">
        <f t="shared" si="71"/>
        <v>每牙</v>
      </c>
      <c r="E398" s="1" t="str">
        <f t="shared" si="70"/>
        <v>治疗费</v>
      </c>
    </row>
    <row r="399" spans="1:5">
      <c r="A399" s="1" t="str">
        <f>"牙龈保护剂塞治"</f>
        <v>牙龈保护剂塞治</v>
      </c>
      <c r="B399" s="1">
        <v>6</v>
      </c>
      <c r="C399" s="1">
        <v>6</v>
      </c>
      <c r="D399" s="1" t="str">
        <f t="shared" si="71"/>
        <v>每牙</v>
      </c>
      <c r="E399" s="1" t="str">
        <f t="shared" si="70"/>
        <v>治疗费</v>
      </c>
    </row>
    <row r="400" spans="1:5">
      <c r="A400" s="1" t="str">
        <f>"急性坏死性龈炎局部清创"</f>
        <v>急性坏死性龈炎局部清创</v>
      </c>
      <c r="B400" s="1">
        <v>12</v>
      </c>
      <c r="C400" s="1">
        <v>12</v>
      </c>
      <c r="D400" s="1" t="str">
        <f t="shared" si="71"/>
        <v>每牙</v>
      </c>
      <c r="E400" s="1" t="str">
        <f>"手术费"</f>
        <v>手术费</v>
      </c>
    </row>
    <row r="401" spans="1:5">
      <c r="A401" s="1" t="str">
        <f>"根面平整术"</f>
        <v>根面平整术</v>
      </c>
      <c r="B401" s="1">
        <v>8.4</v>
      </c>
      <c r="C401" s="1">
        <v>8.4</v>
      </c>
      <c r="D401" s="1" t="str">
        <f t="shared" si="71"/>
        <v>每牙</v>
      </c>
      <c r="E401" s="1" t="str">
        <f t="shared" ref="E401:E406" si="72">"治疗费"</f>
        <v>治疗费</v>
      </c>
    </row>
    <row r="402" spans="1:5">
      <c r="A402" s="1" t="str">
        <f>"根面平整术(超声根面平整)"</f>
        <v>根面平整术(超声根面平整)</v>
      </c>
      <c r="B402" s="1">
        <v>12</v>
      </c>
      <c r="C402" s="1">
        <v>13</v>
      </c>
      <c r="D402" s="1" t="str">
        <f t="shared" si="71"/>
        <v>每牙</v>
      </c>
      <c r="E402" s="1" t="str">
        <f t="shared" si="72"/>
        <v>治疗费</v>
      </c>
    </row>
    <row r="403" spans="1:5">
      <c r="A403" s="1" t="str">
        <f>"口腔黏膜病系统治疗设计"</f>
        <v>口腔黏膜病系统治疗设计</v>
      </c>
      <c r="B403" s="1">
        <v>6</v>
      </c>
      <c r="C403" s="1">
        <v>7</v>
      </c>
      <c r="D403" s="1" t="str">
        <f t="shared" ref="D403:D406" si="73">"次"</f>
        <v>次</v>
      </c>
      <c r="E403" s="1" t="str">
        <f t="shared" si="72"/>
        <v>治疗费</v>
      </c>
    </row>
    <row r="404" spans="1:5">
      <c r="A404" s="1" t="str">
        <f>"颞下颌关节复位术"</f>
        <v>颞下颌关节复位术</v>
      </c>
      <c r="B404" s="1">
        <v>42</v>
      </c>
      <c r="C404" s="1">
        <v>42</v>
      </c>
      <c r="D404" s="1" t="str">
        <f>"每次"</f>
        <v>每次</v>
      </c>
      <c r="E404" s="1" t="str">
        <f t="shared" si="72"/>
        <v>治疗费</v>
      </c>
    </row>
    <row r="405" spans="1:5">
      <c r="A405" s="1" t="str">
        <f>"冠周炎局部治疗"</f>
        <v>冠周炎局部治疗</v>
      </c>
      <c r="B405" s="1">
        <v>9.6</v>
      </c>
      <c r="C405" s="1">
        <v>10</v>
      </c>
      <c r="D405" s="1" t="str">
        <f t="shared" si="73"/>
        <v>次</v>
      </c>
      <c r="E405" s="1" t="str">
        <f t="shared" si="72"/>
        <v>治疗费</v>
      </c>
    </row>
    <row r="406" spans="1:5">
      <c r="A406" s="1" t="str">
        <f>"干槽症换药"</f>
        <v>干槽症换药</v>
      </c>
      <c r="B406" s="1">
        <v>17</v>
      </c>
      <c r="C406" s="1">
        <v>17</v>
      </c>
      <c r="D406" s="1" t="str">
        <f t="shared" si="73"/>
        <v>次</v>
      </c>
      <c r="E406" s="1" t="str">
        <f t="shared" si="72"/>
        <v>治疗费</v>
      </c>
    </row>
    <row r="407" spans="1:5">
      <c r="A407" s="1" t="str">
        <f>"冠修复"</f>
        <v>冠修复</v>
      </c>
      <c r="B407" s="1">
        <v>96</v>
      </c>
      <c r="C407" s="1">
        <v>96</v>
      </c>
      <c r="D407" s="1" t="str">
        <f t="shared" ref="D407:D417" si="74">"每牙"</f>
        <v>每牙</v>
      </c>
      <c r="E407" s="1" t="str">
        <f t="shared" ref="E407:E422" si="75">"治疗费"</f>
        <v>治疗费</v>
      </c>
    </row>
    <row r="408" spans="1:5">
      <c r="A408" s="1" t="str">
        <f>"冠修复(烤塑冠、塑胶冠)"</f>
        <v>冠修复(烤塑冠、塑胶冠)</v>
      </c>
      <c r="B408" s="1">
        <v>48</v>
      </c>
      <c r="C408" s="1">
        <v>48</v>
      </c>
      <c r="D408" s="1" t="str">
        <f t="shared" si="74"/>
        <v>每牙</v>
      </c>
      <c r="E408" s="1" t="str">
        <f t="shared" si="75"/>
        <v>治疗费</v>
      </c>
    </row>
    <row r="409" spans="1:5">
      <c r="A409" s="1" t="str">
        <f>"嵌体修复"</f>
        <v>嵌体修复</v>
      </c>
      <c r="B409" s="1">
        <v>144</v>
      </c>
      <c r="C409" s="1">
        <v>144</v>
      </c>
      <c r="D409" s="1" t="str">
        <f t="shared" si="74"/>
        <v>每牙</v>
      </c>
      <c r="E409" s="1" t="str">
        <f t="shared" si="75"/>
        <v>治疗费</v>
      </c>
    </row>
    <row r="410" spans="1:5">
      <c r="A410" s="1" t="str">
        <f>"桩核根帽修复"</f>
        <v>桩核根帽修复</v>
      </c>
      <c r="B410" s="1">
        <v>96</v>
      </c>
      <c r="C410" s="1">
        <v>96</v>
      </c>
      <c r="D410" s="1" t="str">
        <f t="shared" si="74"/>
        <v>每牙</v>
      </c>
      <c r="E410" s="1" t="str">
        <f t="shared" si="75"/>
        <v>治疗费</v>
      </c>
    </row>
    <row r="411" spans="1:5">
      <c r="A411" s="1" t="str">
        <f>"贴面修复"</f>
        <v>贴面修复</v>
      </c>
      <c r="B411" s="1">
        <v>84</v>
      </c>
      <c r="C411" s="1">
        <v>84</v>
      </c>
      <c r="D411" s="1" t="str">
        <f t="shared" si="74"/>
        <v>每牙</v>
      </c>
      <c r="E411" s="1" t="str">
        <f t="shared" si="75"/>
        <v>治疗费</v>
      </c>
    </row>
    <row r="412" spans="1:5">
      <c r="A412" s="1" t="str">
        <f>"固定桥"</f>
        <v>固定桥</v>
      </c>
      <c r="B412" s="1">
        <v>120</v>
      </c>
      <c r="C412" s="1">
        <v>120</v>
      </c>
      <c r="D412" s="1" t="str">
        <f t="shared" si="74"/>
        <v>每牙</v>
      </c>
      <c r="E412" s="1" t="str">
        <f t="shared" si="75"/>
        <v>治疗费</v>
      </c>
    </row>
    <row r="413" spans="1:5">
      <c r="A413" s="1" t="str">
        <f>"活动桥每增加牙、卡环加收"</f>
        <v>活动桥每增加牙、卡环加收</v>
      </c>
      <c r="B413" s="1">
        <v>24</v>
      </c>
      <c r="C413" s="1">
        <v>24</v>
      </c>
      <c r="D413" s="1" t="str">
        <f t="shared" si="74"/>
        <v>每牙</v>
      </c>
      <c r="E413" s="1" t="str">
        <f t="shared" si="75"/>
        <v>治疗费</v>
      </c>
    </row>
    <row r="414" spans="1:5">
      <c r="A414" s="1" t="str">
        <f>"塑料可摘局部义齿"</f>
        <v>塑料可摘局部义齿</v>
      </c>
      <c r="B414" s="1">
        <v>96</v>
      </c>
      <c r="C414" s="1">
        <v>96</v>
      </c>
      <c r="D414" s="1" t="str">
        <f t="shared" si="74"/>
        <v>每牙</v>
      </c>
      <c r="E414" s="1" t="str">
        <f t="shared" si="75"/>
        <v>治疗费</v>
      </c>
    </row>
    <row r="415" spans="1:5">
      <c r="A415" s="1" t="str">
        <f>"铸造可摘局部义齿"</f>
        <v>铸造可摘局部义齿</v>
      </c>
      <c r="B415" s="1">
        <v>240</v>
      </c>
      <c r="C415" s="1">
        <v>240</v>
      </c>
      <c r="D415" s="1" t="str">
        <f t="shared" si="74"/>
        <v>每牙</v>
      </c>
      <c r="E415" s="1" t="str">
        <f t="shared" si="75"/>
        <v>治疗费</v>
      </c>
    </row>
    <row r="416" spans="1:5">
      <c r="A416" s="1" t="str">
        <f>"美容义齿(四层色美容修复总义齿)"</f>
        <v>美容义齿(四层色美容修复总义齿)</v>
      </c>
      <c r="B416" s="1">
        <v>2000</v>
      </c>
      <c r="C416" s="1">
        <v>2000</v>
      </c>
      <c r="D416" s="1" t="str">
        <f t="shared" si="74"/>
        <v>每牙</v>
      </c>
      <c r="E416" s="1" t="str">
        <f t="shared" si="75"/>
        <v>治疗费</v>
      </c>
    </row>
    <row r="417" spans="1:5">
      <c r="A417" s="1" t="str">
        <f>"美容义齿（铸瓷全冠）"</f>
        <v>美容义齿（铸瓷全冠）</v>
      </c>
      <c r="B417" s="1">
        <v>1800</v>
      </c>
      <c r="C417" s="1">
        <v>1800</v>
      </c>
      <c r="D417" s="1" t="str">
        <f t="shared" si="74"/>
        <v>每牙</v>
      </c>
      <c r="E417" s="1" t="str">
        <f t="shared" si="75"/>
        <v>治疗费</v>
      </c>
    </row>
    <row r="418" spans="1:5">
      <c r="A418" s="1" t="str">
        <f>"美容义齿（纯钛金属冠）"</f>
        <v>美容义齿（纯钛金属冠）</v>
      </c>
      <c r="B418" s="1">
        <v>900</v>
      </c>
      <c r="C418" s="1">
        <v>1000</v>
      </c>
      <c r="D418" s="1" t="str">
        <f>"例"</f>
        <v>例</v>
      </c>
      <c r="E418" s="1" t="str">
        <f t="shared" si="75"/>
        <v>治疗费</v>
      </c>
    </row>
    <row r="419" spans="1:5">
      <c r="A419" s="1" t="str">
        <f>"美容义齿(四层色美容修复总义齿(纯钛腭板))"</f>
        <v>美容义齿(四层色美容修复总义齿(纯钛腭板))</v>
      </c>
      <c r="B419" s="1">
        <v>3000</v>
      </c>
      <c r="C419" s="1">
        <v>3000</v>
      </c>
      <c r="D419" s="1" t="str">
        <f>"单颌"</f>
        <v>单颌</v>
      </c>
      <c r="E419" s="1" t="str">
        <f t="shared" si="75"/>
        <v>治疗费</v>
      </c>
    </row>
    <row r="420" spans="1:5">
      <c r="A420" s="1" t="str">
        <f>"美容义齿（纯钛中支架）"</f>
        <v>美容义齿（纯钛中支架）</v>
      </c>
      <c r="B420" s="1">
        <v>2000</v>
      </c>
      <c r="C420" s="1">
        <v>2000</v>
      </c>
      <c r="D420" s="1" t="str">
        <f>"每件"</f>
        <v>每件</v>
      </c>
      <c r="E420" s="1" t="str">
        <f t="shared" si="75"/>
        <v>治疗费</v>
      </c>
    </row>
    <row r="421" spans="1:5">
      <c r="A421" s="1" t="str">
        <f>"美容义齿(隐形义齿)"</f>
        <v>美容义齿(隐形义齿)</v>
      </c>
      <c r="B421" s="1">
        <v>400</v>
      </c>
      <c r="C421" s="1">
        <v>400</v>
      </c>
      <c r="D421" s="1" t="str">
        <f t="shared" ref="D421:D427" si="76">"每牙"</f>
        <v>每牙</v>
      </c>
      <c r="E421" s="1" t="str">
        <f t="shared" si="75"/>
        <v>治疗费</v>
      </c>
    </row>
    <row r="422" spans="1:5">
      <c r="A422" s="1" t="str">
        <f>"美容义齿(四层色美容修复总义齿)"</f>
        <v>美容义齿(四层色美容修复总义齿)</v>
      </c>
      <c r="B422" s="1">
        <v>4000</v>
      </c>
      <c r="C422" s="1">
        <v>4000</v>
      </c>
      <c r="D422" s="1" t="str">
        <f t="shared" si="76"/>
        <v>每牙</v>
      </c>
      <c r="E422" s="1" t="str">
        <f t="shared" si="75"/>
        <v>治疗费</v>
      </c>
    </row>
    <row r="423" spans="1:5">
      <c r="A423" s="1" t="str">
        <f>"美容义齿（纤维桩核）"</f>
        <v>美容义齿（纤维桩核）</v>
      </c>
      <c r="B423" s="1">
        <v>400</v>
      </c>
      <c r="C423" s="1">
        <v>450</v>
      </c>
      <c r="D423" s="1" t="str">
        <f t="shared" si="76"/>
        <v>每牙</v>
      </c>
      <c r="E423" s="1" t="str">
        <f t="shared" ref="E423:E426" si="77">"治疗费(含材料费)"</f>
        <v>治疗费(含材料费)</v>
      </c>
    </row>
    <row r="424" spans="1:5">
      <c r="A424" s="1" t="str">
        <f>"美容义齿（全瓷核）"</f>
        <v>美容义齿（全瓷核）</v>
      </c>
      <c r="B424" s="1">
        <v>1000</v>
      </c>
      <c r="C424" s="1">
        <v>1500</v>
      </c>
      <c r="D424" s="1" t="str">
        <f t="shared" si="76"/>
        <v>每牙</v>
      </c>
      <c r="E424" s="1" t="str">
        <f t="shared" si="77"/>
        <v>治疗费(含材料费)</v>
      </c>
    </row>
    <row r="425" spans="1:5">
      <c r="A425" s="1" t="str">
        <f>"美容义齿（超瓷冠）"</f>
        <v>美容义齿（超瓷冠）</v>
      </c>
      <c r="B425" s="1">
        <v>2500</v>
      </c>
      <c r="C425" s="1">
        <v>2500</v>
      </c>
      <c r="D425" s="1" t="str">
        <f t="shared" si="76"/>
        <v>每牙</v>
      </c>
      <c r="E425" s="1" t="str">
        <f t="shared" si="77"/>
        <v>治疗费(含材料费)</v>
      </c>
    </row>
    <row r="426" spans="1:5">
      <c r="A426" s="1" t="str">
        <f>"美容义齿（计算机全瓷3）"</f>
        <v>美容义齿（计算机全瓷3）</v>
      </c>
      <c r="B426" s="1">
        <v>3000</v>
      </c>
      <c r="C426" s="1">
        <v>3000</v>
      </c>
      <c r="D426" s="1" t="str">
        <f t="shared" si="76"/>
        <v>每牙</v>
      </c>
      <c r="E426" s="1" t="str">
        <f t="shared" si="77"/>
        <v>治疗费(含材料费)</v>
      </c>
    </row>
    <row r="427" spans="1:5">
      <c r="A427" s="1" t="str">
        <f>"美容义齿(隐形义齿增加一牙加收)"</f>
        <v>美容义齿(隐形义齿增加一牙加收)</v>
      </c>
      <c r="B427" s="1">
        <v>100</v>
      </c>
      <c r="C427" s="1">
        <v>100</v>
      </c>
      <c r="D427" s="1" t="str">
        <f t="shared" si="76"/>
        <v>每牙</v>
      </c>
      <c r="E427" s="1" t="str">
        <f t="shared" ref="E427:E464" si="78">"治疗费"</f>
        <v>治疗费</v>
      </c>
    </row>
    <row r="428" spans="1:5">
      <c r="A428" s="1" t="str">
        <f>"美容义齿（纯钛小支架）"</f>
        <v>美容义齿（纯钛小支架）</v>
      </c>
      <c r="B428" s="1">
        <v>1000</v>
      </c>
      <c r="C428" s="1">
        <v>1000</v>
      </c>
      <c r="D428" s="1" t="str">
        <f>"每件"</f>
        <v>每件</v>
      </c>
      <c r="E428" s="1" t="str">
        <f>"治疗费(含材料费)"</f>
        <v>治疗费(含材料费)</v>
      </c>
    </row>
    <row r="429" spans="1:5">
      <c r="A429" s="1" t="str">
        <f>"美容义齿（瓷嵌体1）"</f>
        <v>美容义齿（瓷嵌体1）</v>
      </c>
      <c r="B429" s="1">
        <v>2000</v>
      </c>
      <c r="C429" s="1">
        <v>2000</v>
      </c>
      <c r="D429" s="1" t="str">
        <f t="shared" ref="D429:D441" si="79">"每牙"</f>
        <v>每牙</v>
      </c>
      <c r="E429" s="1" t="str">
        <f>"治疗费(含材料费)"</f>
        <v>治疗费(含材料费)</v>
      </c>
    </row>
    <row r="430" spans="1:5">
      <c r="A430" s="1" t="str">
        <f>"美容义齿（纯钛烤瓷冠）"</f>
        <v>美容义齿（纯钛烤瓷冠）</v>
      </c>
      <c r="B430" s="1">
        <v>1500</v>
      </c>
      <c r="C430" s="1">
        <v>1500</v>
      </c>
      <c r="D430" s="1" t="str">
        <f t="shared" si="79"/>
        <v>每牙</v>
      </c>
      <c r="E430" s="1" t="str">
        <f t="shared" si="78"/>
        <v>治疗费</v>
      </c>
    </row>
    <row r="431" spans="1:5">
      <c r="A431" s="1" t="str">
        <f>"美容义齿（贱金属烧烤瓷冠）"</f>
        <v>美容义齿（贱金属烧烤瓷冠）</v>
      </c>
      <c r="B431" s="1">
        <v>800</v>
      </c>
      <c r="C431" s="1">
        <v>900</v>
      </c>
      <c r="D431" s="1" t="str">
        <f t="shared" si="79"/>
        <v>每牙</v>
      </c>
      <c r="E431" s="1" t="str">
        <f t="shared" si="78"/>
        <v>治疗费</v>
      </c>
    </row>
    <row r="432" spans="1:5">
      <c r="A432" s="1" t="str">
        <f>"美容义齿"</f>
        <v>美容义齿</v>
      </c>
      <c r="B432" s="1">
        <v>2000</v>
      </c>
      <c r="C432" s="1">
        <v>2000</v>
      </c>
      <c r="D432" s="1" t="str">
        <f t="shared" si="79"/>
        <v>每牙</v>
      </c>
      <c r="E432" s="1" t="str">
        <f t="shared" si="78"/>
        <v>治疗费</v>
      </c>
    </row>
    <row r="433" spans="1:5">
      <c r="A433" s="1" t="str">
        <f>"美容义齿（烤塑冠）"</f>
        <v>美容义齿（烤塑冠）</v>
      </c>
      <c r="B433" s="1">
        <v>1500</v>
      </c>
      <c r="C433" s="1">
        <v>1500</v>
      </c>
      <c r="D433" s="1" t="str">
        <f t="shared" si="79"/>
        <v>每牙</v>
      </c>
      <c r="E433" s="1" t="str">
        <f t="shared" si="78"/>
        <v>治疗费</v>
      </c>
    </row>
    <row r="434" spans="1:5">
      <c r="A434" s="1" t="str">
        <f>"美容义齿（强化树脂冠）"</f>
        <v>美容义齿（强化树脂冠）</v>
      </c>
      <c r="B434" s="1">
        <v>1200</v>
      </c>
      <c r="C434" s="1">
        <v>1200</v>
      </c>
      <c r="D434" s="1" t="str">
        <f t="shared" si="79"/>
        <v>每牙</v>
      </c>
      <c r="E434" s="1" t="str">
        <f t="shared" si="78"/>
        <v>治疗费</v>
      </c>
    </row>
    <row r="435" spans="1:5">
      <c r="A435" s="1" t="str">
        <f>"美容义齿（粉末堆筑瓷全冠）"</f>
        <v>美容义齿（粉末堆筑瓷全冠）</v>
      </c>
      <c r="B435" s="1">
        <v>1500</v>
      </c>
      <c r="C435" s="1">
        <v>1500</v>
      </c>
      <c r="D435" s="1" t="str">
        <f t="shared" si="79"/>
        <v>每牙</v>
      </c>
      <c r="E435" s="1" t="str">
        <f t="shared" si="78"/>
        <v>治疗费</v>
      </c>
    </row>
    <row r="436" spans="1:5">
      <c r="A436" s="1" t="str">
        <f>"美容义齿（纤维超瓷）"</f>
        <v>美容义齿（纤维超瓷）</v>
      </c>
      <c r="B436" s="1">
        <v>4500</v>
      </c>
      <c r="C436" s="1">
        <v>4500</v>
      </c>
      <c r="D436" s="1" t="str">
        <f t="shared" si="79"/>
        <v>每牙</v>
      </c>
      <c r="E436" s="1" t="str">
        <f t="shared" si="78"/>
        <v>治疗费</v>
      </c>
    </row>
    <row r="437" spans="1:5">
      <c r="A437" s="1" t="str">
        <f>"美容义齿（金属超瓷冠）"</f>
        <v>美容义齿（金属超瓷冠）</v>
      </c>
      <c r="B437" s="1">
        <v>1200</v>
      </c>
      <c r="C437" s="1">
        <v>1200</v>
      </c>
      <c r="D437" s="1" t="str">
        <f t="shared" si="79"/>
        <v>每牙</v>
      </c>
      <c r="E437" s="1" t="str">
        <f t="shared" si="78"/>
        <v>治疗费</v>
      </c>
    </row>
    <row r="438" spans="1:5">
      <c r="A438" s="1" t="str">
        <f>"美容义齿（计算机纯钛冠）"</f>
        <v>美容义齿（计算机纯钛冠）</v>
      </c>
      <c r="B438" s="1">
        <v>1500</v>
      </c>
      <c r="C438" s="1">
        <v>1500</v>
      </c>
      <c r="D438" s="1" t="str">
        <f t="shared" si="79"/>
        <v>每牙</v>
      </c>
      <c r="E438" s="1" t="str">
        <f t="shared" si="78"/>
        <v>治疗费</v>
      </c>
    </row>
    <row r="439" spans="1:5">
      <c r="A439" s="1" t="str">
        <f>"美容义齿（特殊暂时冠桥）"</f>
        <v>美容义齿（特殊暂时冠桥）</v>
      </c>
      <c r="B439" s="1">
        <v>300</v>
      </c>
      <c r="C439" s="1">
        <v>300</v>
      </c>
      <c r="D439" s="1" t="str">
        <f t="shared" si="79"/>
        <v>每牙</v>
      </c>
      <c r="E439" s="1" t="str">
        <f t="shared" si="78"/>
        <v>治疗费</v>
      </c>
    </row>
    <row r="440" spans="1:5">
      <c r="A440" s="1" t="str">
        <f>"美容义齿（计算机瓷嵌体）"</f>
        <v>美容义齿（计算机瓷嵌体）</v>
      </c>
      <c r="B440" s="1">
        <v>3000</v>
      </c>
      <c r="C440" s="1">
        <v>3000</v>
      </c>
      <c r="D440" s="1" t="str">
        <f t="shared" si="79"/>
        <v>每牙</v>
      </c>
      <c r="E440" s="1" t="str">
        <f t="shared" si="78"/>
        <v>治疗费</v>
      </c>
    </row>
    <row r="441" spans="1:5">
      <c r="A441" s="1" t="str">
        <f>"美容义齿(白胶钩)"</f>
        <v>美容义齿(白胶钩)</v>
      </c>
      <c r="B441" s="1">
        <v>500</v>
      </c>
      <c r="C441" s="1">
        <v>500</v>
      </c>
      <c r="D441" s="1" t="str">
        <f t="shared" si="79"/>
        <v>每牙</v>
      </c>
      <c r="E441" s="1" t="str">
        <f t="shared" si="78"/>
        <v>治疗费</v>
      </c>
    </row>
    <row r="442" spans="1:5">
      <c r="A442" s="1" t="str">
        <f>"美容义齿（纯钛大支架）"</f>
        <v>美容义齿（纯钛大支架）</v>
      </c>
      <c r="B442" s="1">
        <v>3000</v>
      </c>
      <c r="C442" s="1">
        <v>3500</v>
      </c>
      <c r="D442" s="1" t="str">
        <f>"每件"</f>
        <v>每件</v>
      </c>
      <c r="E442" s="1" t="str">
        <f t="shared" si="78"/>
        <v>治疗费</v>
      </c>
    </row>
    <row r="443" spans="1:5">
      <c r="A443" s="1" t="str">
        <f>"即刻义齿"</f>
        <v>即刻义齿</v>
      </c>
      <c r="B443" s="1">
        <v>19</v>
      </c>
      <c r="C443" s="1">
        <v>19</v>
      </c>
      <c r="D443" s="1" t="str">
        <f t="shared" ref="D443:D449" si="80">"每牙"</f>
        <v>每牙</v>
      </c>
      <c r="E443" s="1" t="str">
        <f t="shared" si="78"/>
        <v>治疗费</v>
      </c>
    </row>
    <row r="444" spans="1:5">
      <c r="A444" s="1" t="str">
        <f>"附着体义齿"</f>
        <v>附着体义齿</v>
      </c>
      <c r="B444" s="1">
        <v>180</v>
      </c>
      <c r="C444" s="1">
        <v>180</v>
      </c>
      <c r="D444" s="1" t="str">
        <f t="shared" si="80"/>
        <v>每牙</v>
      </c>
      <c r="E444" s="1" t="str">
        <f t="shared" si="78"/>
        <v>治疗费</v>
      </c>
    </row>
    <row r="445" spans="1:5">
      <c r="A445" s="1" t="str">
        <f>"总义齿"</f>
        <v>总义齿</v>
      </c>
      <c r="B445" s="1">
        <v>360</v>
      </c>
      <c r="C445" s="1">
        <v>360</v>
      </c>
      <c r="D445" s="1" t="str">
        <f>"单颌"</f>
        <v>单颌</v>
      </c>
      <c r="E445" s="1" t="str">
        <f t="shared" si="78"/>
        <v>治疗费</v>
      </c>
    </row>
    <row r="446" spans="1:5">
      <c r="A446" s="1" t="str">
        <f>"拆冠桥（锤造冠）"</f>
        <v>拆冠桥（锤造冠）</v>
      </c>
      <c r="B446" s="1">
        <v>12</v>
      </c>
      <c r="C446" s="1">
        <v>12</v>
      </c>
      <c r="D446" s="1" t="str">
        <f t="shared" si="80"/>
        <v>每牙</v>
      </c>
      <c r="E446" s="1" t="str">
        <f t="shared" si="78"/>
        <v>治疗费</v>
      </c>
    </row>
    <row r="447" spans="1:5">
      <c r="A447" s="1" t="str">
        <f>"拆冠桥（铸造冠）"</f>
        <v>拆冠桥（铸造冠）</v>
      </c>
      <c r="B447" s="1">
        <v>12</v>
      </c>
      <c r="C447" s="1">
        <v>20</v>
      </c>
      <c r="D447" s="1" t="str">
        <f t="shared" si="80"/>
        <v>每牙</v>
      </c>
      <c r="E447" s="1" t="str">
        <f t="shared" si="78"/>
        <v>治疗费</v>
      </c>
    </row>
    <row r="448" spans="1:5">
      <c r="A448" s="1" t="str">
        <f>"拆桩"</f>
        <v>拆桩</v>
      </c>
      <c r="B448" s="1">
        <v>12</v>
      </c>
      <c r="C448" s="1">
        <v>12</v>
      </c>
      <c r="D448" s="1" t="str">
        <f t="shared" si="80"/>
        <v>每牙</v>
      </c>
      <c r="E448" s="1" t="str">
        <f t="shared" si="78"/>
        <v>治疗费</v>
      </c>
    </row>
    <row r="449" spans="1:5">
      <c r="A449" s="1" t="str">
        <f>"烤瓷冠崩瓷修理"</f>
        <v>烤瓷冠崩瓷修理</v>
      </c>
      <c r="B449" s="1">
        <v>14</v>
      </c>
      <c r="C449" s="1">
        <v>14</v>
      </c>
      <c r="D449" s="1" t="str">
        <f t="shared" si="80"/>
        <v>每牙</v>
      </c>
      <c r="E449" s="1" t="str">
        <f t="shared" si="78"/>
        <v>治疗费</v>
      </c>
    </row>
    <row r="450" spans="1:5">
      <c r="A450" s="1" t="str">
        <f>"调改义齿"</f>
        <v>调改义齿</v>
      </c>
      <c r="B450" s="1">
        <v>3.6</v>
      </c>
      <c r="C450" s="1">
        <v>3.6</v>
      </c>
      <c r="D450" s="1" t="str">
        <f t="shared" ref="D450:D453" si="81">"次"</f>
        <v>次</v>
      </c>
      <c r="E450" s="1" t="str">
        <f t="shared" si="78"/>
        <v>治疗费</v>
      </c>
    </row>
    <row r="451" spans="1:5">
      <c r="A451" s="1" t="str">
        <f>"加人工牙"</f>
        <v>加人工牙</v>
      </c>
      <c r="B451" s="1">
        <v>18</v>
      </c>
      <c r="C451" s="1">
        <v>18</v>
      </c>
      <c r="D451" s="1" t="str">
        <f>"每牙"</f>
        <v>每牙</v>
      </c>
      <c r="E451" s="1" t="str">
        <f t="shared" si="78"/>
        <v>治疗费</v>
      </c>
    </row>
    <row r="452" spans="1:5">
      <c r="A452" s="1" t="str">
        <f>"义齿接长基托"</f>
        <v>义齿接长基托</v>
      </c>
      <c r="B452" s="1">
        <v>12</v>
      </c>
      <c r="C452" s="1">
        <v>12</v>
      </c>
      <c r="D452" s="1" t="str">
        <f t="shared" si="81"/>
        <v>次</v>
      </c>
      <c r="E452" s="1" t="str">
        <f t="shared" si="78"/>
        <v>治疗费</v>
      </c>
    </row>
    <row r="453" spans="1:5">
      <c r="A453" s="1" t="str">
        <f>"义齿裂纹及折裂修理"</f>
        <v>义齿裂纹及折裂修理</v>
      </c>
      <c r="B453" s="1">
        <v>24</v>
      </c>
      <c r="C453" s="1">
        <v>24</v>
      </c>
      <c r="D453" s="1" t="str">
        <f t="shared" si="81"/>
        <v>次</v>
      </c>
      <c r="E453" s="1" t="str">
        <f t="shared" si="78"/>
        <v>治疗费</v>
      </c>
    </row>
    <row r="454" spans="1:5">
      <c r="A454" s="1" t="str">
        <f>"义齿组织面重衬"</f>
        <v>义齿组织面重衬</v>
      </c>
      <c r="B454" s="1">
        <v>6</v>
      </c>
      <c r="C454" s="1">
        <v>6</v>
      </c>
      <c r="D454" s="1" t="str">
        <f>"每厘米"</f>
        <v>每厘米</v>
      </c>
      <c r="E454" s="1" t="str">
        <f t="shared" si="78"/>
        <v>治疗费</v>
      </c>
    </row>
    <row r="455" spans="1:5">
      <c r="A455" s="1" t="str">
        <f>"加卡环"</f>
        <v>加卡环</v>
      </c>
      <c r="B455" s="1">
        <v>12</v>
      </c>
      <c r="C455" s="1">
        <v>12</v>
      </c>
      <c r="D455" s="1" t="str">
        <f>"每卡环"</f>
        <v>每卡环</v>
      </c>
      <c r="E455" s="1" t="str">
        <f t="shared" si="78"/>
        <v>治疗费</v>
      </c>
    </row>
    <row r="456" spans="1:5">
      <c r="A456" s="1" t="str">
        <f>"加合(代)颌支托"</f>
        <v>加合(代)颌支托</v>
      </c>
      <c r="B456" s="1">
        <v>18</v>
      </c>
      <c r="C456" s="1">
        <v>18</v>
      </c>
      <c r="D456" s="1" t="str">
        <f t="shared" ref="D456:D458" si="82">"次"</f>
        <v>次</v>
      </c>
      <c r="E456" s="1" t="str">
        <f t="shared" si="78"/>
        <v>治疗费</v>
      </c>
    </row>
    <row r="457" spans="1:5">
      <c r="A457" s="1" t="str">
        <f>"加铸颌合（代）面"</f>
        <v>加铸颌合（代）面</v>
      </c>
      <c r="B457" s="1">
        <v>48</v>
      </c>
      <c r="C457" s="1">
        <v>48</v>
      </c>
      <c r="D457" s="1" t="str">
        <f t="shared" si="82"/>
        <v>次</v>
      </c>
      <c r="E457" s="1" t="str">
        <f t="shared" si="78"/>
        <v>治疗费</v>
      </c>
    </row>
    <row r="458" spans="1:5">
      <c r="A458" s="1" t="str">
        <f>"塑料合（代）颌面加高咬合"</f>
        <v>塑料合（代）颌面加高咬合</v>
      </c>
      <c r="B458" s="1">
        <v>30</v>
      </c>
      <c r="C458" s="1">
        <v>30</v>
      </c>
      <c r="D458" s="1" t="str">
        <f t="shared" si="82"/>
        <v>次</v>
      </c>
      <c r="E458" s="1" t="str">
        <f t="shared" si="78"/>
        <v>治疗费</v>
      </c>
    </row>
    <row r="459" spans="1:5">
      <c r="A459" s="1" t="str">
        <f>"弹性假牙龈"</f>
        <v>弹性假牙龈</v>
      </c>
      <c r="B459" s="1">
        <v>18</v>
      </c>
      <c r="C459" s="1">
        <v>18</v>
      </c>
      <c r="D459" s="1" t="str">
        <f>"每牙"</f>
        <v>每牙</v>
      </c>
      <c r="E459" s="1" t="str">
        <f t="shared" si="78"/>
        <v>治疗费</v>
      </c>
    </row>
    <row r="460" spans="1:5">
      <c r="A460" s="1" t="str">
        <f>"铸造加工"</f>
        <v>铸造加工</v>
      </c>
      <c r="B460" s="1">
        <v>72</v>
      </c>
      <c r="C460" s="1">
        <v>72</v>
      </c>
      <c r="D460" s="1" t="str">
        <f>"件"</f>
        <v>件</v>
      </c>
      <c r="E460" s="1" t="str">
        <f t="shared" si="78"/>
        <v>治疗费</v>
      </c>
    </row>
    <row r="461" spans="1:5">
      <c r="A461" s="1" t="str">
        <f>"附着体增换"</f>
        <v>附着体增换</v>
      </c>
      <c r="B461" s="1">
        <v>24</v>
      </c>
      <c r="C461" s="1">
        <v>24</v>
      </c>
      <c r="D461" s="1" t="str">
        <f>"个"</f>
        <v>个</v>
      </c>
      <c r="E461" s="1" t="str">
        <f t="shared" si="78"/>
        <v>治疗费</v>
      </c>
    </row>
    <row r="462" spans="1:5">
      <c r="A462" s="1" t="str">
        <f>"合（代）垫"</f>
        <v>合（代）垫</v>
      </c>
      <c r="B462" s="1">
        <v>144</v>
      </c>
      <c r="C462" s="1">
        <v>144</v>
      </c>
      <c r="D462" s="1" t="str">
        <f>"件"</f>
        <v>件</v>
      </c>
      <c r="E462" s="1" t="str">
        <f t="shared" si="78"/>
        <v>治疗费</v>
      </c>
    </row>
    <row r="463" spans="1:5">
      <c r="A463" s="1" t="str">
        <f>"义颌修复"</f>
        <v>义颌修复</v>
      </c>
      <c r="B463" s="1">
        <v>216</v>
      </c>
      <c r="C463" s="1">
        <v>240</v>
      </c>
      <c r="D463" s="1" t="str">
        <f>"每区段"</f>
        <v>每区段</v>
      </c>
      <c r="E463" s="1" t="str">
        <f t="shared" si="78"/>
        <v>治疗费</v>
      </c>
    </row>
    <row r="464" spans="1:5">
      <c r="A464" s="1" t="str">
        <f>"正畸保持器治疗"</f>
        <v>正畸保持器治疗</v>
      </c>
      <c r="B464" s="1">
        <v>48</v>
      </c>
      <c r="C464" s="1">
        <v>48</v>
      </c>
      <c r="D464" s="1" t="str">
        <f>"付"</f>
        <v>付</v>
      </c>
      <c r="E464" s="1" t="str">
        <f t="shared" si="78"/>
        <v>治疗费</v>
      </c>
    </row>
    <row r="465" spans="1:5">
      <c r="A465" s="1" t="str">
        <f>"肺通气功能检查"</f>
        <v>肺通气功能检查</v>
      </c>
      <c r="B465" s="1">
        <v>39</v>
      </c>
      <c r="C465" s="1">
        <v>39</v>
      </c>
      <c r="D465" s="1" t="str">
        <f t="shared" ref="D465:D469" si="83">"次"</f>
        <v>次</v>
      </c>
      <c r="E465" s="1" t="str">
        <f t="shared" ref="E465:E470" si="84">"检查费"</f>
        <v>检查费</v>
      </c>
    </row>
    <row r="466" spans="1:5">
      <c r="A466" s="1" t="str">
        <f>"流速容量曲线（V-V)"</f>
        <v>流速容量曲线（V-V)</v>
      </c>
      <c r="B466" s="1">
        <v>117</v>
      </c>
      <c r="C466" s="1">
        <v>117</v>
      </c>
      <c r="D466" s="1" t="str">
        <f>"项"</f>
        <v>项</v>
      </c>
      <c r="E466" s="1" t="str">
        <f t="shared" si="84"/>
        <v>检查费</v>
      </c>
    </row>
    <row r="467" spans="1:5">
      <c r="A467" s="1" t="str">
        <f>"常规心电图检查十二通道"</f>
        <v>常规心电图检查十二通道</v>
      </c>
      <c r="B467" s="1">
        <v>36</v>
      </c>
      <c r="C467" s="1">
        <v>36</v>
      </c>
      <c r="D467" s="1" t="str">
        <f t="shared" si="83"/>
        <v>次</v>
      </c>
      <c r="E467" s="1" t="str">
        <f>"心电图"</f>
        <v>心电图</v>
      </c>
    </row>
    <row r="468" spans="1:5">
      <c r="A468" s="1" t="str">
        <f>"动态心电图"</f>
        <v>动态心电图</v>
      </c>
      <c r="B468" s="1">
        <v>192</v>
      </c>
      <c r="C468" s="1">
        <v>192</v>
      </c>
      <c r="D468" s="1" t="str">
        <f t="shared" si="83"/>
        <v>次</v>
      </c>
      <c r="E468" s="1" t="str">
        <f>"心电图"</f>
        <v>心电图</v>
      </c>
    </row>
    <row r="469" spans="1:5">
      <c r="A469" s="1" t="str">
        <f>"心率变异性分析"</f>
        <v>心率变异性分析</v>
      </c>
      <c r="B469" s="1">
        <v>96</v>
      </c>
      <c r="C469" s="1">
        <v>96</v>
      </c>
      <c r="D469" s="1" t="str">
        <f t="shared" si="83"/>
        <v>次</v>
      </c>
      <c r="E469" s="1" t="str">
        <f t="shared" si="84"/>
        <v>检查费</v>
      </c>
    </row>
    <row r="470" spans="1:5">
      <c r="A470" s="1" t="str">
        <f>"动态血压监测"</f>
        <v>动态血压监测</v>
      </c>
      <c r="B470" s="1">
        <v>6</v>
      </c>
      <c r="C470" s="1">
        <v>6</v>
      </c>
      <c r="D470" s="1" t="str">
        <f>"小时"</f>
        <v>小时</v>
      </c>
      <c r="E470" s="1" t="str">
        <f t="shared" si="84"/>
        <v>检查费</v>
      </c>
    </row>
    <row r="471" spans="1:5">
      <c r="A471" s="1" t="str">
        <f>"血氧饱和度监测"</f>
        <v>血氧饱和度监测</v>
      </c>
      <c r="B471" s="1">
        <v>2</v>
      </c>
      <c r="C471" s="1">
        <v>2.4</v>
      </c>
      <c r="D471" s="1" t="str">
        <f>"小时"</f>
        <v>小时</v>
      </c>
      <c r="E471" s="1" t="str">
        <f t="shared" ref="E471:E473" si="85">"治疗费"</f>
        <v>治疗费</v>
      </c>
    </row>
    <row r="472" spans="1:5">
      <c r="A472" s="1" t="str">
        <f>"阴道填塞"</f>
        <v>阴道填塞</v>
      </c>
      <c r="B472" s="1">
        <v>39</v>
      </c>
      <c r="C472" s="1">
        <v>39</v>
      </c>
      <c r="D472" s="1" t="str">
        <f t="shared" ref="D472:D475" si="86">"次"</f>
        <v>次</v>
      </c>
      <c r="E472" s="1" t="str">
        <f t="shared" si="85"/>
        <v>治疗费</v>
      </c>
    </row>
    <row r="473" spans="1:5">
      <c r="A473" s="1" t="str">
        <f>"宫颈上药"</f>
        <v>宫颈上药</v>
      </c>
      <c r="B473" s="1">
        <v>13</v>
      </c>
      <c r="C473" s="1">
        <v>13</v>
      </c>
      <c r="D473" s="1" t="str">
        <f t="shared" si="86"/>
        <v>次</v>
      </c>
      <c r="E473" s="1" t="str">
        <f t="shared" si="85"/>
        <v>治疗费</v>
      </c>
    </row>
    <row r="474" spans="1:5">
      <c r="A474" s="1" t="str">
        <f>"宫颈扩张术"</f>
        <v>宫颈扩张术</v>
      </c>
      <c r="B474" s="1">
        <v>39</v>
      </c>
      <c r="C474" s="1">
        <v>39</v>
      </c>
      <c r="D474" s="1" t="str">
        <f t="shared" si="86"/>
        <v>次</v>
      </c>
      <c r="E474" s="1" t="str">
        <f t="shared" ref="E474:E479" si="87">"手术费"</f>
        <v>手术费</v>
      </c>
    </row>
    <row r="475" spans="1:5">
      <c r="A475" s="1" t="str">
        <f>"宫颈内口探查术"</f>
        <v>宫颈内口探查术</v>
      </c>
      <c r="B475" s="1">
        <v>52</v>
      </c>
      <c r="C475" s="1">
        <v>52</v>
      </c>
      <c r="D475" s="1" t="str">
        <f t="shared" si="86"/>
        <v>次</v>
      </c>
      <c r="E475" s="1" t="str">
        <f t="shared" si="87"/>
        <v>手术费</v>
      </c>
    </row>
    <row r="476" spans="1:5">
      <c r="A476" s="1" t="str">
        <f>"妇科特殊治疗"</f>
        <v>妇科特殊治疗</v>
      </c>
      <c r="B476" s="1">
        <v>26</v>
      </c>
      <c r="C476" s="1">
        <v>26</v>
      </c>
      <c r="D476" s="1" t="str">
        <f>"每个部位"</f>
        <v>每个部位</v>
      </c>
      <c r="E476" s="1" t="str">
        <f>"治疗费"</f>
        <v>治疗费</v>
      </c>
    </row>
    <row r="477" spans="1:5">
      <c r="A477" s="1" t="str">
        <f>"产前检查"</f>
        <v>产前检查</v>
      </c>
      <c r="B477" s="1">
        <v>10</v>
      </c>
      <c r="C477" s="1">
        <v>10</v>
      </c>
      <c r="D477" s="1" t="str">
        <f t="shared" ref="D477:D495" si="88">"次"</f>
        <v>次</v>
      </c>
      <c r="E477" s="1" t="str">
        <f t="shared" ref="E477:E481" si="89">"检查费"</f>
        <v>检查费</v>
      </c>
    </row>
    <row r="478" spans="1:5">
      <c r="A478" s="1" t="str">
        <f>"胎心监测"</f>
        <v>胎心监测</v>
      </c>
      <c r="B478" s="1">
        <v>26</v>
      </c>
      <c r="C478" s="1">
        <v>26</v>
      </c>
      <c r="D478" s="1" t="str">
        <f t="shared" si="88"/>
        <v>次</v>
      </c>
      <c r="E478" s="1" t="str">
        <f t="shared" si="89"/>
        <v>检查费</v>
      </c>
    </row>
    <row r="479" spans="1:5">
      <c r="A479" s="1" t="str">
        <f>"刮宫术"</f>
        <v>刮宫术</v>
      </c>
      <c r="B479" s="1">
        <v>104</v>
      </c>
      <c r="C479" s="1">
        <v>210</v>
      </c>
      <c r="D479" s="1" t="str">
        <f t="shared" si="88"/>
        <v>次</v>
      </c>
      <c r="E479" s="1" t="str">
        <f t="shared" si="87"/>
        <v>手术费</v>
      </c>
    </row>
    <row r="480" spans="1:5">
      <c r="A480" s="1" t="str">
        <f>"药物性引产处置术"</f>
        <v>药物性引产处置术</v>
      </c>
      <c r="B480" s="1">
        <v>104</v>
      </c>
      <c r="C480" s="1">
        <v>104</v>
      </c>
      <c r="D480" s="1" t="str">
        <f t="shared" si="88"/>
        <v>次</v>
      </c>
      <c r="E480" s="1" t="str">
        <f t="shared" ref="E480:E495" si="90">"治疗费"</f>
        <v>治疗费</v>
      </c>
    </row>
    <row r="481" spans="1:5">
      <c r="A481" s="1" t="str">
        <f>"新生儿经皮胆红素测定"</f>
        <v>新生儿经皮胆红素测定</v>
      </c>
      <c r="B481" s="1">
        <v>6.5</v>
      </c>
      <c r="C481" s="1">
        <v>6.5</v>
      </c>
      <c r="D481" s="1" t="str">
        <f t="shared" si="88"/>
        <v>次</v>
      </c>
      <c r="E481" s="1" t="str">
        <f t="shared" si="89"/>
        <v>检查费</v>
      </c>
    </row>
    <row r="482" spans="1:5">
      <c r="A482" s="1" t="str">
        <f>"关节穿刺术"</f>
        <v>关节穿刺术</v>
      </c>
      <c r="B482" s="1">
        <v>65</v>
      </c>
      <c r="C482" s="1">
        <v>65</v>
      </c>
      <c r="D482" s="1" t="str">
        <f t="shared" si="88"/>
        <v>次</v>
      </c>
      <c r="E482" s="1" t="str">
        <f t="shared" si="90"/>
        <v>治疗费</v>
      </c>
    </row>
    <row r="483" spans="1:5">
      <c r="A483" s="1" t="str">
        <f>"关节腔灌注治疗"</f>
        <v>关节腔灌注治疗</v>
      </c>
      <c r="B483" s="1">
        <v>104</v>
      </c>
      <c r="C483" s="1">
        <v>104</v>
      </c>
      <c r="D483" s="1" t="str">
        <f t="shared" si="88"/>
        <v>次</v>
      </c>
      <c r="E483" s="1" t="str">
        <f t="shared" si="90"/>
        <v>治疗费</v>
      </c>
    </row>
    <row r="484" spans="1:5">
      <c r="A484" s="1" t="str">
        <f>"持续关节腔冲洗"</f>
        <v>持续关节腔冲洗</v>
      </c>
      <c r="B484" s="1">
        <v>78</v>
      </c>
      <c r="C484" s="1">
        <v>78</v>
      </c>
      <c r="D484" s="1" t="str">
        <f t="shared" si="88"/>
        <v>次</v>
      </c>
      <c r="E484" s="1" t="str">
        <f t="shared" si="90"/>
        <v>治疗费</v>
      </c>
    </row>
    <row r="485" spans="1:5">
      <c r="A485" s="1" t="str">
        <f>"骨膜封闭术"</f>
        <v>骨膜封闭术</v>
      </c>
      <c r="B485" s="1">
        <v>46</v>
      </c>
      <c r="C485" s="1">
        <v>46</v>
      </c>
      <c r="D485" s="1" t="str">
        <f t="shared" si="88"/>
        <v>次</v>
      </c>
      <c r="E485" s="1" t="str">
        <f t="shared" si="90"/>
        <v>治疗费</v>
      </c>
    </row>
    <row r="486" spans="1:5">
      <c r="A486" s="1" t="str">
        <f>"软组织内封闭术"</f>
        <v>软组织内封闭术</v>
      </c>
      <c r="B486" s="1">
        <v>33</v>
      </c>
      <c r="C486" s="1">
        <v>33</v>
      </c>
      <c r="D486" s="1" t="str">
        <f t="shared" si="88"/>
        <v>次</v>
      </c>
      <c r="E486" s="1" t="str">
        <f t="shared" si="90"/>
        <v>治疗费</v>
      </c>
    </row>
    <row r="487" spans="1:5">
      <c r="A487" s="1" t="str">
        <f>"神经根封闭术"</f>
        <v>神经根封闭术</v>
      </c>
      <c r="B487" s="1">
        <v>52</v>
      </c>
      <c r="C487" s="1">
        <v>52</v>
      </c>
      <c r="D487" s="1" t="str">
        <f t="shared" si="88"/>
        <v>次</v>
      </c>
      <c r="E487" s="1" t="str">
        <f t="shared" si="90"/>
        <v>治疗费</v>
      </c>
    </row>
    <row r="488" spans="1:5">
      <c r="A488" s="1" t="str">
        <f>"周围神经封闭术"</f>
        <v>周围神经封闭术</v>
      </c>
      <c r="B488" s="1">
        <v>33</v>
      </c>
      <c r="C488" s="1">
        <v>33</v>
      </c>
      <c r="D488" s="1" t="str">
        <f t="shared" si="88"/>
        <v>次</v>
      </c>
      <c r="E488" s="1" t="str">
        <f t="shared" si="90"/>
        <v>治疗费</v>
      </c>
    </row>
    <row r="489" spans="1:5">
      <c r="A489" s="1" t="str">
        <f>"神经丛封闭术"</f>
        <v>神经丛封闭术</v>
      </c>
      <c r="B489" s="1">
        <v>46</v>
      </c>
      <c r="C489" s="1">
        <v>46</v>
      </c>
      <c r="D489" s="1" t="str">
        <f t="shared" si="88"/>
        <v>次</v>
      </c>
      <c r="E489" s="1" t="str">
        <f t="shared" si="90"/>
        <v>治疗费</v>
      </c>
    </row>
    <row r="490" spans="1:5">
      <c r="A490" s="1" t="str">
        <f>"神经丛封闭术（臂丛）"</f>
        <v>神经丛封闭术（臂丛）</v>
      </c>
      <c r="B490" s="1">
        <v>46</v>
      </c>
      <c r="C490" s="1">
        <v>46</v>
      </c>
      <c r="D490" s="1" t="str">
        <f t="shared" si="88"/>
        <v>次</v>
      </c>
      <c r="E490" s="1" t="str">
        <f t="shared" si="90"/>
        <v>治疗费</v>
      </c>
    </row>
    <row r="491" spans="1:5">
      <c r="A491" s="1" t="str">
        <f>"鞘内封闭"</f>
        <v>鞘内封闭</v>
      </c>
      <c r="B491" s="1">
        <v>65</v>
      </c>
      <c r="C491" s="1">
        <v>65</v>
      </c>
      <c r="D491" s="1" t="str">
        <f t="shared" si="88"/>
        <v>次</v>
      </c>
      <c r="E491" s="1" t="str">
        <f t="shared" si="90"/>
        <v>治疗费</v>
      </c>
    </row>
    <row r="492" spans="1:5">
      <c r="A492" s="1" t="str">
        <f>"鞘内注射"</f>
        <v>鞘内注射</v>
      </c>
      <c r="B492" s="1">
        <v>65</v>
      </c>
      <c r="C492" s="1">
        <v>65</v>
      </c>
      <c r="D492" s="1" t="str">
        <f t="shared" si="88"/>
        <v>次</v>
      </c>
      <c r="E492" s="1" t="str">
        <f t="shared" si="90"/>
        <v>治疗费</v>
      </c>
    </row>
    <row r="493" spans="1:5">
      <c r="A493" s="1" t="str">
        <f>"骶管滴注"</f>
        <v>骶管滴注</v>
      </c>
      <c r="B493" s="1">
        <v>91</v>
      </c>
      <c r="C493" s="1">
        <v>91</v>
      </c>
      <c r="D493" s="1" t="str">
        <f t="shared" si="88"/>
        <v>次</v>
      </c>
      <c r="E493" s="1" t="str">
        <f t="shared" si="90"/>
        <v>治疗费</v>
      </c>
    </row>
    <row r="494" spans="1:5">
      <c r="A494" s="1" t="str">
        <f>"皮肤赘生物电烧治疗"</f>
        <v>皮肤赘生物电烧治疗</v>
      </c>
      <c r="B494" s="1">
        <v>7.5</v>
      </c>
      <c r="C494" s="1">
        <v>7.5</v>
      </c>
      <c r="D494" s="1" t="str">
        <f t="shared" si="88"/>
        <v>次</v>
      </c>
      <c r="E494" s="1" t="str">
        <f t="shared" si="90"/>
        <v>治疗费</v>
      </c>
    </row>
    <row r="495" spans="1:5">
      <c r="A495" s="1" t="str">
        <f>"拔甲治疗"</f>
        <v>拔甲治疗</v>
      </c>
      <c r="B495" s="1">
        <v>38</v>
      </c>
      <c r="C495" s="1">
        <v>38</v>
      </c>
      <c r="D495" s="1" t="str">
        <f t="shared" si="88"/>
        <v>次</v>
      </c>
      <c r="E495" s="1" t="str">
        <f t="shared" si="90"/>
        <v>治疗费</v>
      </c>
    </row>
    <row r="496" spans="1:5">
      <c r="A496" s="1" t="str">
        <f>"皮肤溃疡清创术"</f>
        <v>皮肤溃疡清创术</v>
      </c>
      <c r="B496" s="1">
        <v>15</v>
      </c>
      <c r="C496" s="1">
        <v>15</v>
      </c>
      <c r="D496" s="1" t="str">
        <f>"每创面"</f>
        <v>每创面</v>
      </c>
      <c r="E496" s="1" t="str">
        <f>"手术费"</f>
        <v>手术费</v>
      </c>
    </row>
    <row r="497" spans="1:5">
      <c r="A497" s="1" t="str">
        <f>"二氧化碳(CO2)激光治疗"</f>
        <v>二氧化碳(CO2)激光治疗</v>
      </c>
      <c r="B497" s="1">
        <v>29</v>
      </c>
      <c r="C497" s="1">
        <v>29</v>
      </c>
      <c r="D497" s="1" t="str">
        <f>"每个 皮损"</f>
        <v>每个 皮损</v>
      </c>
      <c r="E497" s="1" t="str">
        <f>"治疗费"</f>
        <v>治疗费</v>
      </c>
    </row>
    <row r="498" spans="1:5">
      <c r="A498" s="1" t="str">
        <f>"烧伤换药"</f>
        <v>烧伤换药</v>
      </c>
      <c r="B498" s="1">
        <v>28</v>
      </c>
      <c r="C498" s="1">
        <v>28</v>
      </c>
      <c r="D498" s="1" t="str">
        <f>"1%体表面"</f>
        <v>1%体表面</v>
      </c>
      <c r="E498" s="1" t="str">
        <f>"治疗费"</f>
        <v>治疗费</v>
      </c>
    </row>
    <row r="499" spans="1:5">
      <c r="A499" s="1" t="str">
        <f>"精神科A类量表测查(丹佛小儿智能发育筛查表)"</f>
        <v>精神科A类量表测查(丹佛小儿智能发育筛查表)</v>
      </c>
      <c r="B499" s="1">
        <v>45</v>
      </c>
      <c r="C499" s="1">
        <v>45</v>
      </c>
      <c r="D499" s="1" t="str">
        <f t="shared" ref="D499:D501" si="91">"次"</f>
        <v>次</v>
      </c>
      <c r="E499" s="1" t="str">
        <f t="shared" ref="E499:E501" si="92">"检查费"</f>
        <v>检查费</v>
      </c>
    </row>
    <row r="500" spans="1:5">
      <c r="A500" s="1" t="str">
        <f>"9条目患者健康问卷（PHQ-9）"</f>
        <v>9条目患者健康问卷（PHQ-9）</v>
      </c>
      <c r="B500" s="1">
        <v>45</v>
      </c>
      <c r="C500" s="1">
        <v>45</v>
      </c>
      <c r="D500" s="1" t="str">
        <f t="shared" si="91"/>
        <v>次</v>
      </c>
      <c r="E500" s="1" t="str">
        <f t="shared" si="92"/>
        <v>检查费</v>
      </c>
    </row>
    <row r="501" spans="1:5">
      <c r="A501" s="1" t="str">
        <f>"精神科A类量表测查(儿童孤独行为检查量表)"</f>
        <v>精神科A类量表测查(儿童孤独行为检查量表)</v>
      </c>
      <c r="B501" s="1">
        <v>45</v>
      </c>
      <c r="C501" s="1">
        <v>45</v>
      </c>
      <c r="D501" s="1" t="str">
        <f t="shared" si="91"/>
        <v>次</v>
      </c>
      <c r="E501" s="1" t="str">
        <f t="shared" si="92"/>
        <v>检查费</v>
      </c>
    </row>
    <row r="502" spans="1:5">
      <c r="A502" s="1" t="str">
        <f>"局部浸润麻醉"</f>
        <v>局部浸润麻醉</v>
      </c>
      <c r="B502" s="1">
        <v>18</v>
      </c>
      <c r="C502" s="1">
        <v>25</v>
      </c>
      <c r="D502" s="1" t="str">
        <f t="shared" ref="D502:D507" si="93">"次"</f>
        <v>次</v>
      </c>
      <c r="E502" s="1" t="str">
        <f>"麻醉费"</f>
        <v>麻醉费</v>
      </c>
    </row>
    <row r="503" spans="1:5">
      <c r="A503" s="1" t="str">
        <f>"神经阻滞麻醉"</f>
        <v>神经阻滞麻醉</v>
      </c>
      <c r="B503" s="1">
        <v>124</v>
      </c>
      <c r="C503" s="1">
        <v>124</v>
      </c>
      <c r="D503" s="1" t="str">
        <f t="shared" si="93"/>
        <v>次</v>
      </c>
      <c r="E503" s="1" t="str">
        <f>"麻醉费"</f>
        <v>麻醉费</v>
      </c>
    </row>
    <row r="504" spans="1:5">
      <c r="A504" s="1" t="str">
        <f>"神经阻滞麻醉口腔门诊"</f>
        <v>神经阻滞麻醉口腔门诊</v>
      </c>
      <c r="B504" s="1">
        <v>36</v>
      </c>
      <c r="C504" s="1">
        <v>36</v>
      </c>
      <c r="D504" s="1" t="str">
        <f t="shared" si="93"/>
        <v>次</v>
      </c>
      <c r="E504" s="1" t="str">
        <f>"治疗费"</f>
        <v>治疗费</v>
      </c>
    </row>
    <row r="505" spans="1:5">
      <c r="A505" s="1" t="str">
        <f>"眼睑肿物切除术"</f>
        <v>眼睑肿物切除术</v>
      </c>
      <c r="B505" s="1">
        <v>130</v>
      </c>
      <c r="C505" s="1">
        <v>130</v>
      </c>
      <c r="D505" s="1" t="str">
        <f t="shared" si="93"/>
        <v>次</v>
      </c>
      <c r="E505" s="1" t="str">
        <f t="shared" ref="E505:E514" si="94">"手术费"</f>
        <v>手术费</v>
      </c>
    </row>
    <row r="506" spans="1:5">
      <c r="A506" s="1" t="str">
        <f>"耳道异物取出术"</f>
        <v>耳道异物取出术</v>
      </c>
      <c r="B506" s="1">
        <v>87</v>
      </c>
      <c r="C506" s="1">
        <v>87</v>
      </c>
      <c r="D506" s="1" t="str">
        <f t="shared" si="93"/>
        <v>次</v>
      </c>
      <c r="E506" s="1" t="str">
        <f t="shared" si="94"/>
        <v>手术费</v>
      </c>
    </row>
    <row r="507" spans="1:5">
      <c r="A507" s="1" t="str">
        <f>"鼻腔异物取出术"</f>
        <v>鼻腔异物取出术</v>
      </c>
      <c r="B507" s="1">
        <v>54</v>
      </c>
      <c r="C507" s="1">
        <v>54</v>
      </c>
      <c r="D507" s="1" t="str">
        <f t="shared" si="93"/>
        <v>次</v>
      </c>
      <c r="E507" s="1" t="str">
        <f t="shared" si="94"/>
        <v>手术费</v>
      </c>
    </row>
    <row r="508" spans="1:5">
      <c r="A508" s="1" t="str">
        <f>"乳牙拔除术"</f>
        <v>乳牙拔除术</v>
      </c>
      <c r="B508" s="1">
        <v>7.7</v>
      </c>
      <c r="C508" s="1">
        <v>7.7</v>
      </c>
      <c r="D508" s="1" t="str">
        <f t="shared" ref="D508:D516" si="95">"每牙"</f>
        <v>每牙</v>
      </c>
      <c r="E508" s="1" t="str">
        <f t="shared" si="94"/>
        <v>手术费</v>
      </c>
    </row>
    <row r="509" spans="1:5">
      <c r="A509" s="1" t="str">
        <f>"前牙拔除术"</f>
        <v>前牙拔除术</v>
      </c>
      <c r="B509" s="1">
        <v>16</v>
      </c>
      <c r="C509" s="1">
        <v>16</v>
      </c>
      <c r="D509" s="1" t="str">
        <f t="shared" si="95"/>
        <v>每牙</v>
      </c>
      <c r="E509" s="1" t="str">
        <f t="shared" si="94"/>
        <v>手术费</v>
      </c>
    </row>
    <row r="510" spans="1:5">
      <c r="A510" s="1" t="str">
        <f>"前磨牙拔除术"</f>
        <v>前磨牙拔除术</v>
      </c>
      <c r="B510" s="1">
        <v>22</v>
      </c>
      <c r="C510" s="1">
        <v>22</v>
      </c>
      <c r="D510" s="1" t="str">
        <f t="shared" si="95"/>
        <v>每牙</v>
      </c>
      <c r="E510" s="1" t="str">
        <f t="shared" si="94"/>
        <v>手术费</v>
      </c>
    </row>
    <row r="511" spans="1:5">
      <c r="A511" s="1" t="str">
        <f>"磨牙拔除术"</f>
        <v>磨牙拔除术</v>
      </c>
      <c r="B511" s="1">
        <v>27</v>
      </c>
      <c r="C511" s="1">
        <v>27</v>
      </c>
      <c r="D511" s="1" t="str">
        <f t="shared" si="95"/>
        <v>每牙</v>
      </c>
      <c r="E511" s="1" t="str">
        <f t="shared" si="94"/>
        <v>手术费</v>
      </c>
    </row>
    <row r="512" spans="1:5">
      <c r="A512" s="1" t="str">
        <f>"复杂牙拔除术"</f>
        <v>复杂牙拔除术</v>
      </c>
      <c r="B512" s="1">
        <v>43</v>
      </c>
      <c r="C512" s="1">
        <v>50</v>
      </c>
      <c r="D512" s="1" t="str">
        <f t="shared" si="95"/>
        <v>每牙</v>
      </c>
      <c r="E512" s="1" t="str">
        <f t="shared" si="94"/>
        <v>手术费</v>
      </c>
    </row>
    <row r="513" spans="1:5">
      <c r="A513" s="1" t="str">
        <f>"阻生牙拔除术"</f>
        <v>阻生牙拔除术</v>
      </c>
      <c r="B513" s="1">
        <v>108</v>
      </c>
      <c r="C513" s="1">
        <v>122</v>
      </c>
      <c r="D513" s="1" t="str">
        <f t="shared" si="95"/>
        <v>每牙</v>
      </c>
      <c r="E513" s="1" t="str">
        <f t="shared" si="94"/>
        <v>手术费</v>
      </c>
    </row>
    <row r="514" spans="1:5">
      <c r="A514" s="1" t="str">
        <f>"拔牙创面搔刮术"</f>
        <v>拔牙创面搔刮术</v>
      </c>
      <c r="B514" s="1">
        <v>27</v>
      </c>
      <c r="C514" s="1">
        <v>27</v>
      </c>
      <c r="D514" s="1" t="str">
        <f t="shared" si="95"/>
        <v>每牙</v>
      </c>
      <c r="E514" s="1" t="str">
        <f t="shared" si="94"/>
        <v>手术费</v>
      </c>
    </row>
    <row r="515" spans="1:5">
      <c r="A515" s="1" t="str">
        <f>"牙再植术"</f>
        <v>牙再植术</v>
      </c>
      <c r="B515" s="1">
        <v>108</v>
      </c>
      <c r="C515" s="1">
        <v>108</v>
      </c>
      <c r="D515" s="1" t="str">
        <f t="shared" si="95"/>
        <v>每牙</v>
      </c>
      <c r="E515" s="1" t="str">
        <f t="shared" ref="E515:E518" si="96">"治疗费"</f>
        <v>治疗费</v>
      </c>
    </row>
    <row r="516" spans="1:5">
      <c r="A516" s="1" t="str">
        <f>"牙槽骨修整术"</f>
        <v>牙槽骨修整术</v>
      </c>
      <c r="B516" s="1">
        <v>54</v>
      </c>
      <c r="C516" s="1">
        <v>58</v>
      </c>
      <c r="D516" s="1" t="str">
        <f t="shared" si="95"/>
        <v>每牙</v>
      </c>
      <c r="E516" s="1" t="str">
        <f>"手术费"</f>
        <v>手术费</v>
      </c>
    </row>
    <row r="517" spans="1:5">
      <c r="A517" s="1" t="str">
        <f>"上颌结节成形术"</f>
        <v>上颌结节成形术</v>
      </c>
      <c r="B517" s="1">
        <v>97</v>
      </c>
      <c r="C517" s="1">
        <v>97</v>
      </c>
      <c r="D517" s="1" t="str">
        <f>"次"</f>
        <v>次</v>
      </c>
      <c r="E517" s="1" t="str">
        <f t="shared" si="96"/>
        <v>治疗费</v>
      </c>
    </row>
    <row r="518" spans="1:5">
      <c r="A518" s="1" t="str">
        <f>"阻生智齿龈瓣整形束"</f>
        <v>阻生智齿龈瓣整形束</v>
      </c>
      <c r="B518" s="1">
        <v>54</v>
      </c>
      <c r="C518" s="1">
        <v>54</v>
      </c>
      <c r="D518" s="1" t="str">
        <f t="shared" ref="D518:D523" si="97">"每牙"</f>
        <v>每牙</v>
      </c>
      <c r="E518" s="1" t="str">
        <f t="shared" si="96"/>
        <v>治疗费</v>
      </c>
    </row>
    <row r="519" spans="1:5">
      <c r="A519" s="1" t="str">
        <f>"根端囊肿摘除术"</f>
        <v>根端囊肿摘除术</v>
      </c>
      <c r="B519" s="1">
        <v>162</v>
      </c>
      <c r="C519" s="1">
        <v>162</v>
      </c>
      <c r="D519" s="1" t="str">
        <f t="shared" si="97"/>
        <v>每牙</v>
      </c>
      <c r="E519" s="1" t="str">
        <f>"手术费"</f>
        <v>手术费</v>
      </c>
    </row>
    <row r="520" spans="1:5">
      <c r="A520" s="1" t="str">
        <f>"牙齿萌出囊肿袋形术"</f>
        <v>牙齿萌出囊肿袋形术</v>
      </c>
      <c r="B520" s="1">
        <v>87</v>
      </c>
      <c r="C520" s="1">
        <v>87</v>
      </c>
      <c r="D520" s="1" t="str">
        <f t="shared" si="97"/>
        <v>每牙</v>
      </c>
      <c r="E520" s="1" t="str">
        <f t="shared" ref="E520:E522" si="98">"治疗费"</f>
        <v>治疗费</v>
      </c>
    </row>
    <row r="521" spans="1:5">
      <c r="A521" s="1" t="str">
        <f>"根尖切除术"</f>
        <v>根尖切除术</v>
      </c>
      <c r="B521" s="1">
        <v>162</v>
      </c>
      <c r="C521" s="1">
        <v>162</v>
      </c>
      <c r="D521" s="1" t="str">
        <f t="shared" si="97"/>
        <v>每牙</v>
      </c>
      <c r="E521" s="1" t="str">
        <f t="shared" si="98"/>
        <v>治疗费</v>
      </c>
    </row>
    <row r="522" spans="1:5">
      <c r="A522" s="1" t="str">
        <f>"根尖搔刮术"</f>
        <v>根尖搔刮术</v>
      </c>
      <c r="B522" s="1">
        <v>87</v>
      </c>
      <c r="C522" s="1">
        <v>87</v>
      </c>
      <c r="D522" s="1" t="str">
        <f t="shared" si="97"/>
        <v>每牙</v>
      </c>
      <c r="E522" s="1" t="str">
        <f t="shared" si="98"/>
        <v>治疗费</v>
      </c>
    </row>
    <row r="523" spans="1:5">
      <c r="A523" s="1" t="str">
        <f>"牙龈翻瓣术"</f>
        <v>牙龈翻瓣术</v>
      </c>
      <c r="B523" s="1">
        <v>97</v>
      </c>
      <c r="C523" s="1">
        <v>97</v>
      </c>
      <c r="D523" s="1" t="str">
        <f t="shared" si="97"/>
        <v>每牙</v>
      </c>
      <c r="E523" s="1" t="str">
        <f>"手术费"</f>
        <v>手术费</v>
      </c>
    </row>
    <row r="524" spans="1:5">
      <c r="A524" s="1" t="str">
        <f>"牙龈再生术"</f>
        <v>牙龈再生术</v>
      </c>
      <c r="B524" s="1">
        <v>97</v>
      </c>
      <c r="C524" s="1">
        <v>97</v>
      </c>
      <c r="D524" s="1" t="str">
        <f>"每组"</f>
        <v>每组</v>
      </c>
      <c r="E524" s="1" t="str">
        <f t="shared" ref="E524:E528" si="99">"治疗费"</f>
        <v>治疗费</v>
      </c>
    </row>
    <row r="525" spans="1:5">
      <c r="A525" s="1" t="str">
        <f>"牙龈切除术"</f>
        <v>牙龈切除术</v>
      </c>
      <c r="B525" s="1">
        <v>43</v>
      </c>
      <c r="C525" s="1">
        <v>43</v>
      </c>
      <c r="D525" s="1" t="str">
        <f t="shared" ref="D525:D528" si="100">"每牙"</f>
        <v>每牙</v>
      </c>
      <c r="E525" s="1" t="str">
        <f t="shared" si="99"/>
        <v>治疗费</v>
      </c>
    </row>
    <row r="526" spans="1:5">
      <c r="A526" s="1" t="str">
        <f>"截根术"</f>
        <v>截根术</v>
      </c>
      <c r="B526" s="1">
        <v>108</v>
      </c>
      <c r="C526" s="1">
        <v>108</v>
      </c>
      <c r="D526" s="1" t="str">
        <f t="shared" si="100"/>
        <v>每牙</v>
      </c>
      <c r="E526" s="1" t="str">
        <f t="shared" ref="E526:E543" si="101">"手术费"</f>
        <v>手术费</v>
      </c>
    </row>
    <row r="527" spans="1:5">
      <c r="A527" s="1" t="str">
        <f>"分根术"</f>
        <v>分根术</v>
      </c>
      <c r="B527" s="1">
        <v>76</v>
      </c>
      <c r="C527" s="1">
        <v>76</v>
      </c>
      <c r="D527" s="1" t="str">
        <f t="shared" si="100"/>
        <v>每牙</v>
      </c>
      <c r="E527" s="1" t="str">
        <f t="shared" si="99"/>
        <v>治疗费</v>
      </c>
    </row>
    <row r="528" spans="1:5">
      <c r="A528" s="1" t="str">
        <f>"半牙切除术"</f>
        <v>半牙切除术</v>
      </c>
      <c r="B528" s="1">
        <v>76</v>
      </c>
      <c r="C528" s="1">
        <v>76</v>
      </c>
      <c r="D528" s="1" t="str">
        <f t="shared" si="100"/>
        <v>每牙</v>
      </c>
      <c r="E528" s="1" t="str">
        <f t="shared" si="99"/>
        <v>治疗费</v>
      </c>
    </row>
    <row r="529" spans="1:5">
      <c r="A529" s="1" t="str">
        <f>"口腔颌面软组织清创术(大)"</f>
        <v>口腔颌面软组织清创术(大)</v>
      </c>
      <c r="B529" s="1">
        <v>432</v>
      </c>
      <c r="C529" s="1">
        <v>490</v>
      </c>
      <c r="D529" s="1" t="str">
        <f t="shared" ref="D529:D533" si="102">"次"</f>
        <v>次</v>
      </c>
      <c r="E529" s="1" t="str">
        <f t="shared" si="101"/>
        <v>手术费</v>
      </c>
    </row>
    <row r="530" spans="1:5">
      <c r="A530" s="1" t="str">
        <f>"口腔颌面软组织清创术(中)"</f>
        <v>口腔颌面软组织清创术(中)</v>
      </c>
      <c r="B530" s="1">
        <v>284</v>
      </c>
      <c r="C530" s="1">
        <v>320</v>
      </c>
      <c r="D530" s="1" t="str">
        <f t="shared" si="102"/>
        <v>次</v>
      </c>
      <c r="E530" s="1" t="str">
        <f t="shared" si="101"/>
        <v>手术费</v>
      </c>
    </row>
    <row r="531" spans="1:5">
      <c r="A531" s="1" t="str">
        <f>"口腔颌面软组织清创术(小)"</f>
        <v>口腔颌面软组织清创术(小)</v>
      </c>
      <c r="B531" s="1">
        <v>108</v>
      </c>
      <c r="C531" s="1">
        <v>122</v>
      </c>
      <c r="D531" s="1" t="str">
        <f t="shared" si="102"/>
        <v>次</v>
      </c>
      <c r="E531" s="1" t="str">
        <f t="shared" si="101"/>
        <v>手术费</v>
      </c>
    </row>
    <row r="532" spans="1:5">
      <c r="A532" s="1" t="str">
        <f>"宫颈息肉切除术"</f>
        <v>宫颈息肉切除术</v>
      </c>
      <c r="B532" s="1">
        <v>54</v>
      </c>
      <c r="C532" s="1">
        <v>224</v>
      </c>
      <c r="D532" s="1" t="str">
        <f t="shared" si="102"/>
        <v>次</v>
      </c>
      <c r="E532" s="1" t="str">
        <f t="shared" si="101"/>
        <v>手术费</v>
      </c>
    </row>
    <row r="533" spans="1:5">
      <c r="A533" s="1" t="str">
        <f>"宫颈赘生物切除术"</f>
        <v>宫颈赘生物切除术</v>
      </c>
      <c r="B533" s="1">
        <v>202</v>
      </c>
      <c r="C533" s="1">
        <v>202</v>
      </c>
      <c r="D533" s="1" t="str">
        <f t="shared" si="102"/>
        <v>次</v>
      </c>
      <c r="E533" s="1" t="str">
        <f t="shared" si="101"/>
        <v>手术费</v>
      </c>
    </row>
    <row r="534" spans="1:5">
      <c r="A534" s="1" t="str">
        <f>"手(脚)外伤清创术"</f>
        <v>手(脚)外伤清创术</v>
      </c>
      <c r="B534" s="1">
        <v>162</v>
      </c>
      <c r="C534" s="1">
        <v>162</v>
      </c>
      <c r="D534" s="1" t="str">
        <f>"每指"</f>
        <v>每指</v>
      </c>
      <c r="E534" s="1" t="str">
        <f t="shared" si="101"/>
        <v>手术费</v>
      </c>
    </row>
    <row r="535" spans="1:5">
      <c r="A535" s="1" t="str">
        <f>"手法牵引复位术"</f>
        <v>手法牵引复位术</v>
      </c>
      <c r="B535" s="1">
        <v>108</v>
      </c>
      <c r="C535" s="1">
        <v>108</v>
      </c>
      <c r="D535" s="1" t="str">
        <f t="shared" ref="D535:D542" si="103">"次"</f>
        <v>次</v>
      </c>
      <c r="E535" s="1" t="str">
        <f t="shared" si="101"/>
        <v>手术费</v>
      </c>
    </row>
    <row r="536" spans="1:5">
      <c r="A536" s="1" t="str">
        <f>"石膏固定术(特大)"</f>
        <v>石膏固定术(特大)</v>
      </c>
      <c r="B536" s="1">
        <v>162</v>
      </c>
      <c r="C536" s="1">
        <v>162</v>
      </c>
      <c r="D536" s="1" t="str">
        <f t="shared" si="103"/>
        <v>次</v>
      </c>
      <c r="E536" s="1" t="str">
        <f t="shared" si="101"/>
        <v>手术费</v>
      </c>
    </row>
    <row r="537" spans="1:5">
      <c r="A537" s="1" t="str">
        <f>"石膏固定术(大)"</f>
        <v>石膏固定术(大)</v>
      </c>
      <c r="B537" s="1">
        <v>108</v>
      </c>
      <c r="C537" s="1">
        <v>108</v>
      </c>
      <c r="D537" s="1" t="str">
        <f t="shared" si="103"/>
        <v>次</v>
      </c>
      <c r="E537" s="1" t="str">
        <f t="shared" si="101"/>
        <v>手术费</v>
      </c>
    </row>
    <row r="538" spans="1:5">
      <c r="A538" s="1" t="str">
        <f>"石膏固定术(中)"</f>
        <v>石膏固定术(中)</v>
      </c>
      <c r="B538" s="1">
        <v>97</v>
      </c>
      <c r="C538" s="1">
        <v>97</v>
      </c>
      <c r="D538" s="1" t="str">
        <f t="shared" si="103"/>
        <v>次</v>
      </c>
      <c r="E538" s="1" t="str">
        <f t="shared" si="101"/>
        <v>手术费</v>
      </c>
    </row>
    <row r="539" spans="1:5">
      <c r="A539" s="1" t="str">
        <f>"石膏固定术(小)"</f>
        <v>石膏固定术(小)</v>
      </c>
      <c r="B539" s="1">
        <v>43</v>
      </c>
      <c r="C539" s="1">
        <v>43</v>
      </c>
      <c r="D539" s="1" t="str">
        <f t="shared" si="103"/>
        <v>次</v>
      </c>
      <c r="E539" s="1" t="str">
        <f t="shared" si="101"/>
        <v>手术费</v>
      </c>
    </row>
    <row r="540" spans="1:5">
      <c r="A540" s="1" t="str">
        <f>"石膏拆除术"</f>
        <v>石膏拆除术</v>
      </c>
      <c r="B540" s="1">
        <v>22</v>
      </c>
      <c r="C540" s="1">
        <v>22</v>
      </c>
      <c r="D540" s="1" t="str">
        <f t="shared" si="103"/>
        <v>次</v>
      </c>
      <c r="E540" s="1" t="str">
        <f t="shared" si="101"/>
        <v>手术费</v>
      </c>
    </row>
    <row r="541" spans="1:5">
      <c r="A541" s="1" t="str">
        <f>"脓肿切开引流术"</f>
        <v>脓肿切开引流术</v>
      </c>
      <c r="B541" s="1">
        <v>108</v>
      </c>
      <c r="C541" s="1">
        <v>108</v>
      </c>
      <c r="D541" s="1" t="str">
        <f t="shared" si="103"/>
        <v>次</v>
      </c>
      <c r="E541" s="1" t="str">
        <f t="shared" si="101"/>
        <v>手术费</v>
      </c>
    </row>
    <row r="542" spans="1:5">
      <c r="A542" s="1" t="str">
        <f>"体表异物取出术"</f>
        <v>体表异物取出术</v>
      </c>
      <c r="B542" s="1">
        <v>120</v>
      </c>
      <c r="C542" s="1">
        <v>120</v>
      </c>
      <c r="D542" s="1" t="str">
        <f t="shared" si="103"/>
        <v>次</v>
      </c>
      <c r="E542" s="1" t="str">
        <f t="shared" si="101"/>
        <v>手术费</v>
      </c>
    </row>
    <row r="543" spans="1:5">
      <c r="A543" s="1" t="str">
        <f>"浅表肿物切除术"</f>
        <v>浅表肿物切除术</v>
      </c>
      <c r="B543" s="1">
        <v>120</v>
      </c>
      <c r="C543" s="1">
        <v>120</v>
      </c>
      <c r="D543" s="1" t="str">
        <f t="shared" ref="D543:D547" si="104">"每个 肿物"</f>
        <v>每个 肿物</v>
      </c>
      <c r="E543" s="1" t="str">
        <f t="shared" si="101"/>
        <v>手术费</v>
      </c>
    </row>
    <row r="544" spans="1:5">
      <c r="A544" s="1" t="str">
        <f>"皮脂腺囊肿切除术"</f>
        <v>皮脂腺囊肿切除术</v>
      </c>
      <c r="B544" s="1">
        <v>120</v>
      </c>
      <c r="C544" s="1">
        <v>120</v>
      </c>
      <c r="D544" s="1" t="str">
        <f t="shared" si="104"/>
        <v>每个 肿物</v>
      </c>
      <c r="E544" s="1" t="str">
        <f>"手术治疗费"</f>
        <v>手术治疗费</v>
      </c>
    </row>
    <row r="545" spans="1:5">
      <c r="A545" s="1" t="str">
        <f>"纤维瘤切除术"</f>
        <v>纤维瘤切除术</v>
      </c>
      <c r="B545" s="1">
        <v>120</v>
      </c>
      <c r="C545" s="1">
        <v>120</v>
      </c>
      <c r="D545" s="1" t="str">
        <f t="shared" si="104"/>
        <v>每个 肿物</v>
      </c>
      <c r="E545" s="1" t="str">
        <f t="shared" ref="E545:E548" si="105">"手术费"</f>
        <v>手术费</v>
      </c>
    </row>
    <row r="546" spans="1:5">
      <c r="A546" s="1" t="str">
        <f>"疣切除术"</f>
        <v>疣切除术</v>
      </c>
      <c r="B546" s="1">
        <v>120</v>
      </c>
      <c r="C546" s="1">
        <v>120</v>
      </c>
      <c r="D546" s="1" t="str">
        <f t="shared" si="104"/>
        <v>每个 肿物</v>
      </c>
      <c r="E546" s="1" t="str">
        <f t="shared" si="105"/>
        <v>手术费</v>
      </c>
    </row>
    <row r="547" spans="1:5">
      <c r="A547" s="1" t="str">
        <f>"痣切除术"</f>
        <v>痣切除术</v>
      </c>
      <c r="B547" s="1">
        <v>120</v>
      </c>
      <c r="C547" s="1">
        <v>120</v>
      </c>
      <c r="D547" s="1" t="str">
        <f t="shared" si="104"/>
        <v>每个 肿物</v>
      </c>
      <c r="E547" s="1" t="str">
        <f t="shared" si="105"/>
        <v>手术费</v>
      </c>
    </row>
    <row r="548" spans="1:5">
      <c r="A548" s="1" t="str">
        <f>"任意皮瓣形成术"</f>
        <v>任意皮瓣形成术</v>
      </c>
      <c r="B548" s="1">
        <v>545</v>
      </c>
      <c r="C548" s="1">
        <v>545</v>
      </c>
      <c r="D548" s="1" t="str">
        <f>"每个部位"</f>
        <v>每个部位</v>
      </c>
      <c r="E548" s="1" t="str">
        <f t="shared" si="105"/>
        <v>手术费</v>
      </c>
    </row>
    <row r="549" spans="1:5">
      <c r="A549" s="1" t="str">
        <f>"红外线治疗"</f>
        <v>红外线治疗</v>
      </c>
      <c r="B549" s="1">
        <v>7</v>
      </c>
      <c r="C549" s="1">
        <v>7</v>
      </c>
      <c r="D549" s="1" t="str">
        <f t="shared" ref="D549:D552" si="106">"每部位"</f>
        <v>每部位</v>
      </c>
      <c r="E549" s="1" t="str">
        <f t="shared" ref="E549:E567" si="107">"治疗费"</f>
        <v>治疗费</v>
      </c>
    </row>
    <row r="550" spans="1:5">
      <c r="A550" s="1" t="str">
        <f>"低频脉冲功能性电刺激治疗"</f>
        <v>低频脉冲功能性电刺激治疗</v>
      </c>
      <c r="B550" s="1">
        <v>10</v>
      </c>
      <c r="C550" s="1">
        <v>10</v>
      </c>
      <c r="D550" s="1" t="str">
        <f t="shared" si="106"/>
        <v>每部位</v>
      </c>
      <c r="E550" s="1" t="str">
        <f t="shared" si="107"/>
        <v>治疗费</v>
      </c>
    </row>
    <row r="551" spans="1:5">
      <c r="A551" s="1" t="str">
        <f>"中频脉冲电治疗"</f>
        <v>中频脉冲电治疗</v>
      </c>
      <c r="B551" s="1">
        <v>10</v>
      </c>
      <c r="C551" s="1">
        <v>10</v>
      </c>
      <c r="D551" s="1" t="str">
        <f t="shared" si="106"/>
        <v>每部位</v>
      </c>
      <c r="E551" s="1" t="str">
        <f t="shared" si="107"/>
        <v>治疗费</v>
      </c>
    </row>
    <row r="552" spans="1:5">
      <c r="A552" s="1" t="str">
        <f>"干扰电治疗"</f>
        <v>干扰电治疗</v>
      </c>
      <c r="B552" s="1">
        <v>10</v>
      </c>
      <c r="C552" s="1">
        <v>10</v>
      </c>
      <c r="D552" s="1" t="str">
        <f t="shared" si="106"/>
        <v>每部位</v>
      </c>
      <c r="E552" s="1" t="str">
        <f t="shared" si="107"/>
        <v>治疗费</v>
      </c>
    </row>
    <row r="553" spans="1:5">
      <c r="A553" s="1" t="str">
        <f>"超短波治疗"</f>
        <v>超短波治疗</v>
      </c>
      <c r="B553" s="1">
        <v>10</v>
      </c>
      <c r="C553" s="1">
        <v>10</v>
      </c>
      <c r="D553" s="1" t="str">
        <f>"每个 部位"</f>
        <v>每个 部位</v>
      </c>
      <c r="E553" s="1" t="str">
        <f t="shared" si="107"/>
        <v>治疗费</v>
      </c>
    </row>
    <row r="554" spans="1:5">
      <c r="A554" s="1" t="str">
        <f>"超声波治疗"</f>
        <v>超声波治疗</v>
      </c>
      <c r="B554" s="1">
        <v>12</v>
      </c>
      <c r="C554" s="1">
        <v>12</v>
      </c>
      <c r="D554" s="1" t="str">
        <f>"每5分钟"</f>
        <v>每5分钟</v>
      </c>
      <c r="E554" s="1" t="str">
        <f t="shared" si="107"/>
        <v>治疗费</v>
      </c>
    </row>
    <row r="555" spans="1:5">
      <c r="A555" s="1" t="str">
        <f>"超声波治疗联合治疗加收（每5分钟）"</f>
        <v>超声波治疗联合治疗加收（每5分钟）</v>
      </c>
      <c r="B555" s="1">
        <v>5</v>
      </c>
      <c r="C555" s="1">
        <v>5</v>
      </c>
      <c r="D555" s="1" t="str">
        <f>"每5分钟"</f>
        <v>每5分钟</v>
      </c>
      <c r="E555" s="1" t="str">
        <f t="shared" si="107"/>
        <v>治疗费</v>
      </c>
    </row>
    <row r="556" spans="1:5">
      <c r="A556" s="1" t="str">
        <f>"磁疗"</f>
        <v>磁疗</v>
      </c>
      <c r="B556" s="1">
        <v>8</v>
      </c>
      <c r="C556" s="1">
        <v>8</v>
      </c>
      <c r="D556" s="1" t="str">
        <f t="shared" ref="D556:D574" si="108">"次"</f>
        <v>次</v>
      </c>
      <c r="E556" s="1" t="str">
        <f t="shared" si="107"/>
        <v>治疗费</v>
      </c>
    </row>
    <row r="557" spans="1:5">
      <c r="A557" s="1" t="str">
        <f>"牵引"</f>
        <v>牵引</v>
      </c>
      <c r="B557" s="1">
        <v>25</v>
      </c>
      <c r="C557" s="1">
        <v>25</v>
      </c>
      <c r="D557" s="1" t="str">
        <f t="shared" si="108"/>
        <v>次</v>
      </c>
      <c r="E557" s="1" t="str">
        <f t="shared" si="107"/>
        <v>治疗费</v>
      </c>
    </row>
    <row r="558" spans="1:5">
      <c r="A558" s="1" t="str">
        <f>"气压治疗"</f>
        <v>气压治疗</v>
      </c>
      <c r="B558" s="1">
        <v>10</v>
      </c>
      <c r="C558" s="1">
        <v>10</v>
      </c>
      <c r="D558" s="1" t="str">
        <f>"每部位"</f>
        <v>每部位</v>
      </c>
      <c r="E558" s="1" t="str">
        <f t="shared" si="107"/>
        <v>治疗费</v>
      </c>
    </row>
    <row r="559" spans="1:5">
      <c r="A559" s="1" t="str">
        <f>"冷疗"</f>
        <v>冷疗</v>
      </c>
      <c r="B559" s="1">
        <v>5</v>
      </c>
      <c r="C559" s="1">
        <v>5</v>
      </c>
      <c r="D559" s="1" t="str">
        <f>"每部位"</f>
        <v>每部位</v>
      </c>
      <c r="E559" s="1" t="str">
        <f t="shared" si="107"/>
        <v>治疗费</v>
      </c>
    </row>
    <row r="560" spans="1:5">
      <c r="A560" s="1" t="str">
        <f>"全身肌力训练"</f>
        <v>全身肌力训练</v>
      </c>
      <c r="B560" s="1">
        <v>16</v>
      </c>
      <c r="C560" s="1">
        <v>16</v>
      </c>
      <c r="D560" s="1" t="str">
        <f t="shared" si="108"/>
        <v>次</v>
      </c>
      <c r="E560" s="1" t="str">
        <f t="shared" si="107"/>
        <v>治疗费</v>
      </c>
    </row>
    <row r="561" spans="1:5">
      <c r="A561" s="1" t="str">
        <f>"各关节活动度训练"</f>
        <v>各关节活动度训练</v>
      </c>
      <c r="B561" s="1">
        <v>16</v>
      </c>
      <c r="C561" s="1">
        <v>16</v>
      </c>
      <c r="D561" s="1" t="str">
        <f t="shared" si="108"/>
        <v>次</v>
      </c>
      <c r="E561" s="1" t="str">
        <f t="shared" si="107"/>
        <v>治疗费</v>
      </c>
    </row>
    <row r="562" spans="1:5">
      <c r="A562" s="1" t="str">
        <f>"平衡功能训练"</f>
        <v>平衡功能训练</v>
      </c>
      <c r="B562" s="1">
        <v>15</v>
      </c>
      <c r="C562" s="1">
        <v>15</v>
      </c>
      <c r="D562" s="1" t="str">
        <f t="shared" si="108"/>
        <v>次</v>
      </c>
      <c r="E562" s="1" t="str">
        <f t="shared" si="107"/>
        <v>治疗费</v>
      </c>
    </row>
    <row r="563" spans="1:5">
      <c r="A563" s="1" t="str">
        <f>"手功能训练"</f>
        <v>手功能训练</v>
      </c>
      <c r="B563" s="1">
        <v>26</v>
      </c>
      <c r="C563" s="1">
        <v>26</v>
      </c>
      <c r="D563" s="1" t="str">
        <f t="shared" si="108"/>
        <v>次</v>
      </c>
      <c r="E563" s="1" t="str">
        <f t="shared" si="107"/>
        <v>治疗费</v>
      </c>
    </row>
    <row r="564" spans="1:5">
      <c r="A564" s="1" t="str">
        <f>"关节松动训练"</f>
        <v>关节松动训练</v>
      </c>
      <c r="B564" s="1">
        <v>45</v>
      </c>
      <c r="C564" s="1">
        <v>45</v>
      </c>
      <c r="D564" s="1" t="str">
        <f t="shared" si="108"/>
        <v>次</v>
      </c>
      <c r="E564" s="1" t="str">
        <f t="shared" si="107"/>
        <v>治疗费</v>
      </c>
    </row>
    <row r="565" spans="1:5">
      <c r="A565" s="1" t="str">
        <f>"作业疗法"</f>
        <v>作业疗法</v>
      </c>
      <c r="B565" s="1">
        <v>26</v>
      </c>
      <c r="C565" s="1">
        <v>26</v>
      </c>
      <c r="D565" s="1" t="str">
        <f t="shared" si="108"/>
        <v>次</v>
      </c>
      <c r="E565" s="1" t="str">
        <f t="shared" si="107"/>
        <v>治疗费</v>
      </c>
    </row>
    <row r="566" spans="1:5">
      <c r="A566" s="1" t="str">
        <f>"偏瘫肢体综合训练"</f>
        <v>偏瘫肢体综合训练</v>
      </c>
      <c r="B566" s="1">
        <v>60</v>
      </c>
      <c r="C566" s="1">
        <v>60</v>
      </c>
      <c r="D566" s="1" t="str">
        <f t="shared" si="108"/>
        <v>次</v>
      </c>
      <c r="E566" s="1" t="str">
        <f t="shared" si="107"/>
        <v>治疗费</v>
      </c>
    </row>
    <row r="567" spans="1:5">
      <c r="A567" s="1" t="str">
        <f>"截瘫肢体综合训练"</f>
        <v>截瘫肢体综合训练</v>
      </c>
      <c r="B567" s="1">
        <v>50</v>
      </c>
      <c r="C567" s="1">
        <v>50</v>
      </c>
      <c r="D567" s="1" t="str">
        <f t="shared" si="108"/>
        <v>次</v>
      </c>
      <c r="E567" s="1" t="str">
        <f t="shared" si="107"/>
        <v>治疗费</v>
      </c>
    </row>
    <row r="568" spans="1:5">
      <c r="A568" s="1" t="str">
        <f>"骨折手法整复术"</f>
        <v>骨折手法整复术</v>
      </c>
      <c r="B568" s="1">
        <v>145</v>
      </c>
      <c r="C568" s="1">
        <v>160</v>
      </c>
      <c r="D568" s="1" t="str">
        <f t="shared" si="108"/>
        <v>次</v>
      </c>
      <c r="E568" s="1" t="str">
        <f>"手术费"</f>
        <v>手术费</v>
      </c>
    </row>
    <row r="569" spans="1:5">
      <c r="A569" s="1" t="str">
        <f>"关节脱位手法整复术"</f>
        <v>关节脱位手法整复术</v>
      </c>
      <c r="B569" s="1">
        <v>86</v>
      </c>
      <c r="C569" s="1">
        <v>102</v>
      </c>
      <c r="D569" s="1" t="str">
        <f t="shared" si="108"/>
        <v>次</v>
      </c>
      <c r="E569" s="1" t="str">
        <f t="shared" ref="E569:E571" si="109">"治疗费"</f>
        <v>治疗费</v>
      </c>
    </row>
    <row r="570" spans="1:5">
      <c r="A570" s="1" t="str">
        <f>"关节脱位手法整复术(髋关节）"</f>
        <v>关节脱位手法整复术(髋关节）</v>
      </c>
      <c r="B570" s="1">
        <v>173</v>
      </c>
      <c r="C570" s="1">
        <v>184</v>
      </c>
      <c r="D570" s="1" t="str">
        <f t="shared" si="108"/>
        <v>次</v>
      </c>
      <c r="E570" s="1" t="str">
        <f t="shared" si="109"/>
        <v>治疗费</v>
      </c>
    </row>
    <row r="571" spans="1:5">
      <c r="A571" s="1" t="str">
        <f>"关节脱位手法整复术(下颌关节脱位、指(趾)间关节脱位)"</f>
        <v>关节脱位手法整复术(下颌关节脱位、指(趾)间关节脱位)</v>
      </c>
      <c r="B571" s="1">
        <v>43</v>
      </c>
      <c r="C571" s="1">
        <v>46</v>
      </c>
      <c r="D571" s="1" t="str">
        <f t="shared" si="108"/>
        <v>次</v>
      </c>
      <c r="E571" s="1" t="str">
        <f t="shared" si="109"/>
        <v>治疗费</v>
      </c>
    </row>
    <row r="572" spans="1:5">
      <c r="A572" s="1" t="str">
        <f>"骨折夹板外固定术"</f>
        <v>骨折夹板外固定术</v>
      </c>
      <c r="B572" s="1">
        <v>145</v>
      </c>
      <c r="C572" s="1">
        <v>163</v>
      </c>
      <c r="D572" s="1" t="str">
        <f t="shared" si="108"/>
        <v>次</v>
      </c>
      <c r="E572" s="1" t="str">
        <f>"手术费"</f>
        <v>手术费</v>
      </c>
    </row>
    <row r="573" spans="1:5">
      <c r="A573" s="1" t="str">
        <f>"关节错缝术"</f>
        <v>关节错缝术</v>
      </c>
      <c r="B573" s="1">
        <v>72</v>
      </c>
      <c r="C573" s="1">
        <v>72</v>
      </c>
      <c r="D573" s="1" t="str">
        <f t="shared" si="108"/>
        <v>次</v>
      </c>
      <c r="E573" s="1" t="str">
        <f t="shared" ref="E573:E590" si="110">"治疗费"</f>
        <v>治疗费</v>
      </c>
    </row>
    <row r="574" spans="1:5">
      <c r="A574" s="1" t="str">
        <f>"关节粘连传统松解术"</f>
        <v>关节粘连传统松解术</v>
      </c>
      <c r="B574" s="1">
        <v>157</v>
      </c>
      <c r="C574" s="1">
        <v>162</v>
      </c>
      <c r="D574" s="1" t="str">
        <f t="shared" si="108"/>
        <v>次</v>
      </c>
      <c r="E574" s="1" t="str">
        <f t="shared" si="110"/>
        <v>治疗费</v>
      </c>
    </row>
    <row r="575" spans="1:5">
      <c r="A575" s="1" t="str">
        <f>"中医定向透药疗法"</f>
        <v>中医定向透药疗法</v>
      </c>
      <c r="B575" s="1">
        <v>37</v>
      </c>
      <c r="C575" s="1">
        <v>37</v>
      </c>
      <c r="D575" s="1" t="str">
        <f>"每部位"</f>
        <v>每部位</v>
      </c>
      <c r="E575" s="1" t="str">
        <f t="shared" si="110"/>
        <v>治疗费</v>
      </c>
    </row>
    <row r="576" spans="1:5">
      <c r="A576" s="1" t="str">
        <f>"腱鞘囊肿挤压术"</f>
        <v>腱鞘囊肿挤压术</v>
      </c>
      <c r="B576" s="1">
        <v>100</v>
      </c>
      <c r="C576" s="1">
        <v>100</v>
      </c>
      <c r="D576" s="1" t="str">
        <f t="shared" ref="D576:D584" si="111">"次"</f>
        <v>次</v>
      </c>
      <c r="E576" s="1" t="str">
        <f t="shared" si="110"/>
        <v>治疗费</v>
      </c>
    </row>
    <row r="577" spans="1:5">
      <c r="A577" s="1" t="str">
        <f>"普通针刺"</f>
        <v>普通针刺</v>
      </c>
      <c r="B577" s="1">
        <v>32</v>
      </c>
      <c r="C577" s="1">
        <v>34</v>
      </c>
      <c r="D577" s="1" t="str">
        <f t="shared" si="111"/>
        <v>次</v>
      </c>
      <c r="E577" s="1" t="str">
        <f t="shared" si="110"/>
        <v>治疗费</v>
      </c>
    </row>
    <row r="578" spans="1:5">
      <c r="A578" s="1" t="str">
        <f>"温针"</f>
        <v>温针</v>
      </c>
      <c r="B578" s="1">
        <v>39</v>
      </c>
      <c r="C578" s="1">
        <v>39</v>
      </c>
      <c r="D578" s="1" t="str">
        <f t="shared" si="111"/>
        <v>次</v>
      </c>
      <c r="E578" s="1" t="str">
        <f t="shared" si="110"/>
        <v>治疗费</v>
      </c>
    </row>
    <row r="579" spans="1:5">
      <c r="A579" s="1" t="str">
        <f>"手指点穴"</f>
        <v>手指点穴</v>
      </c>
      <c r="B579" s="1">
        <v>21</v>
      </c>
      <c r="C579" s="1">
        <v>22</v>
      </c>
      <c r="D579" s="1" t="str">
        <f t="shared" si="111"/>
        <v>次</v>
      </c>
      <c r="E579" s="1" t="str">
        <f t="shared" si="110"/>
        <v>治疗费</v>
      </c>
    </row>
    <row r="580" spans="1:5">
      <c r="A580" s="1" t="str">
        <f>"微针针刺"</f>
        <v>微针针刺</v>
      </c>
      <c r="B580" s="1">
        <v>32</v>
      </c>
      <c r="C580" s="1">
        <v>33</v>
      </c>
      <c r="D580" s="1" t="str">
        <f t="shared" si="111"/>
        <v>次</v>
      </c>
      <c r="E580" s="1" t="str">
        <f t="shared" si="110"/>
        <v>治疗费</v>
      </c>
    </row>
    <row r="581" spans="1:5">
      <c r="A581" s="1" t="str">
        <f>"头皮针"</f>
        <v>头皮针</v>
      </c>
      <c r="B581" s="1">
        <v>40</v>
      </c>
      <c r="C581" s="1">
        <v>40</v>
      </c>
      <c r="D581" s="1" t="str">
        <f t="shared" si="111"/>
        <v>次</v>
      </c>
      <c r="E581" s="1" t="str">
        <f t="shared" si="110"/>
        <v>治疗费</v>
      </c>
    </row>
    <row r="582" spans="1:5">
      <c r="A582" s="1" t="str">
        <f>"眼针"</f>
        <v>眼针</v>
      </c>
      <c r="B582" s="1">
        <v>25</v>
      </c>
      <c r="C582" s="1">
        <v>28</v>
      </c>
      <c r="D582" s="1" t="str">
        <f t="shared" si="111"/>
        <v>次</v>
      </c>
      <c r="E582" s="1" t="str">
        <f t="shared" si="110"/>
        <v>治疗费</v>
      </c>
    </row>
    <row r="583" spans="1:5">
      <c r="A583" s="1" t="str">
        <f>"梅花针"</f>
        <v>梅花针</v>
      </c>
      <c r="B583" s="1">
        <v>18</v>
      </c>
      <c r="C583" s="1">
        <v>21</v>
      </c>
      <c r="D583" s="1" t="str">
        <f t="shared" si="111"/>
        <v>次</v>
      </c>
      <c r="E583" s="1" t="str">
        <f t="shared" si="110"/>
        <v>治疗费</v>
      </c>
    </row>
    <row r="584" spans="1:5">
      <c r="A584" s="1" t="str">
        <f>"火针"</f>
        <v>火针</v>
      </c>
      <c r="B584" s="1">
        <v>18</v>
      </c>
      <c r="C584" s="1">
        <v>18</v>
      </c>
      <c r="D584" s="1" t="str">
        <f t="shared" si="111"/>
        <v>次</v>
      </c>
      <c r="E584" s="1" t="str">
        <f t="shared" si="110"/>
        <v>治疗费</v>
      </c>
    </row>
    <row r="585" spans="1:5">
      <c r="A585" s="1" t="str">
        <f>"埋针治疗"</f>
        <v>埋针治疗</v>
      </c>
      <c r="B585" s="1">
        <v>16</v>
      </c>
      <c r="C585" s="1">
        <v>25</v>
      </c>
      <c r="D585" s="1" t="str">
        <f>"每个 穴位"</f>
        <v>每个 穴位</v>
      </c>
      <c r="E585" s="1" t="str">
        <f t="shared" si="110"/>
        <v>治疗费</v>
      </c>
    </row>
    <row r="586" spans="1:5">
      <c r="A586" s="1" t="str">
        <f>"耳针"</f>
        <v>耳针</v>
      </c>
      <c r="B586" s="1">
        <v>24</v>
      </c>
      <c r="C586" s="1">
        <v>24</v>
      </c>
      <c r="D586" s="1" t="str">
        <f>"单侧"</f>
        <v>单侧</v>
      </c>
      <c r="E586" s="1" t="str">
        <f t="shared" si="110"/>
        <v>治疗费</v>
      </c>
    </row>
    <row r="587" spans="1:5">
      <c r="A587" s="1" t="str">
        <f>"芒针"</f>
        <v>芒针</v>
      </c>
      <c r="B587" s="1">
        <v>21</v>
      </c>
      <c r="C587" s="1">
        <v>21</v>
      </c>
      <c r="D587" s="1" t="str">
        <f t="shared" ref="D587:D589" si="112">"次"</f>
        <v>次</v>
      </c>
      <c r="E587" s="1" t="str">
        <f t="shared" si="110"/>
        <v>治疗费</v>
      </c>
    </row>
    <row r="588" spans="1:5">
      <c r="A588" s="1" t="str">
        <f>"针刺运动疗法"</f>
        <v>针刺运动疗法</v>
      </c>
      <c r="B588" s="1">
        <v>36</v>
      </c>
      <c r="C588" s="1">
        <v>36</v>
      </c>
      <c r="D588" s="1" t="str">
        <f t="shared" si="112"/>
        <v>次</v>
      </c>
      <c r="E588" s="1" t="str">
        <f t="shared" si="110"/>
        <v>治疗费</v>
      </c>
    </row>
    <row r="589" spans="1:5">
      <c r="A589" s="1" t="str">
        <f>"电针"</f>
        <v>电针</v>
      </c>
      <c r="B589" s="1">
        <v>24</v>
      </c>
      <c r="C589" s="1">
        <v>24</v>
      </c>
      <c r="D589" s="1" t="str">
        <f t="shared" si="112"/>
        <v>次</v>
      </c>
      <c r="E589" s="1" t="str">
        <f t="shared" si="110"/>
        <v>治疗费</v>
      </c>
    </row>
    <row r="590" spans="1:5">
      <c r="A590" s="1" t="str">
        <f>"浮针"</f>
        <v>浮针</v>
      </c>
      <c r="B590" s="1">
        <v>21</v>
      </c>
      <c r="C590" s="1">
        <v>21</v>
      </c>
      <c r="D590" s="1" t="str">
        <f>"每个 穴位"</f>
        <v>每个 穴位</v>
      </c>
      <c r="E590" s="1" t="str">
        <f t="shared" si="110"/>
        <v>治疗费</v>
      </c>
    </row>
    <row r="591" spans="1:5">
      <c r="A591" s="1" t="str">
        <f>"磁热疗法"</f>
        <v>磁热疗法</v>
      </c>
      <c r="B591" s="1">
        <v>15</v>
      </c>
      <c r="C591" s="1">
        <v>15</v>
      </c>
      <c r="D591" s="1" t="str">
        <f t="shared" ref="D591:D596" si="113">"次"</f>
        <v>次</v>
      </c>
      <c r="E591" s="1" t="str">
        <f t="shared" ref="E591:E596" si="114">"治疗费"</f>
        <v>治疗费</v>
      </c>
    </row>
    <row r="592" spans="1:5">
      <c r="A592" s="1" t="str">
        <f>"穴位注射"</f>
        <v>穴位注射</v>
      </c>
      <c r="B592" s="1">
        <v>20</v>
      </c>
      <c r="C592" s="1">
        <v>20</v>
      </c>
      <c r="D592" s="1" t="str">
        <f>"二个 穴位"</f>
        <v>二个 穴位</v>
      </c>
      <c r="E592" s="1" t="str">
        <f t="shared" si="114"/>
        <v>治疗费</v>
      </c>
    </row>
    <row r="593" spans="1:5">
      <c r="A593" s="1" t="str">
        <f>"子午流注开穴法"</f>
        <v>子午流注开穴法</v>
      </c>
      <c r="B593" s="1">
        <v>30</v>
      </c>
      <c r="C593" s="1">
        <v>30</v>
      </c>
      <c r="D593" s="1" t="str">
        <f t="shared" si="113"/>
        <v>次</v>
      </c>
      <c r="E593" s="1" t="str">
        <f t="shared" si="114"/>
        <v>治疗费</v>
      </c>
    </row>
    <row r="594" spans="1:5">
      <c r="A594" s="1" t="str">
        <f>"小针刀治疗"</f>
        <v>小针刀治疗</v>
      </c>
      <c r="B594" s="1">
        <v>72</v>
      </c>
      <c r="C594" s="1">
        <v>82</v>
      </c>
      <c r="D594" s="1" t="str">
        <f>"每个部位"</f>
        <v>每个部位</v>
      </c>
      <c r="E594" s="1" t="str">
        <f t="shared" si="114"/>
        <v>治疗费</v>
      </c>
    </row>
    <row r="595" spans="1:5">
      <c r="A595" s="1" t="str">
        <f>"足底反射治疗"</f>
        <v>足底反射治疗</v>
      </c>
      <c r="B595" s="1">
        <v>23</v>
      </c>
      <c r="C595" s="1">
        <v>23</v>
      </c>
      <c r="D595" s="1" t="str">
        <f t="shared" si="113"/>
        <v>次</v>
      </c>
      <c r="E595" s="1" t="str">
        <f t="shared" si="114"/>
        <v>治疗费</v>
      </c>
    </row>
    <row r="596" spans="1:5">
      <c r="A596" s="1" t="str">
        <f>"煎药机煎药"</f>
        <v>煎药机煎药</v>
      </c>
      <c r="B596" s="1">
        <v>2.2000000000000002</v>
      </c>
      <c r="C596" s="1">
        <v>3</v>
      </c>
      <c r="D596" s="1" t="str">
        <f t="shared" si="113"/>
        <v>次</v>
      </c>
      <c r="E596" s="1" t="str">
        <f t="shared" si="114"/>
        <v>治疗费</v>
      </c>
    </row>
    <row r="597" spans="1:5">
      <c r="A597" s="1" t="str">
        <f>"产前检查（免费）"</f>
        <v>产前检查（免费）</v>
      </c>
      <c r="B597" s="1" t="str">
        <f t="shared" ref="B597:B611" si="115">"0"</f>
        <v>0</v>
      </c>
      <c r="C597" s="1" t="str">
        <f t="shared" ref="C597:C611" si="116">"0"</f>
        <v>0</v>
      </c>
      <c r="D597" s="1" t="str">
        <f t="shared" ref="D597:D614" si="117">"项"</f>
        <v>项</v>
      </c>
      <c r="E597" s="1" t="str">
        <f>"检查费"</f>
        <v>检查费</v>
      </c>
    </row>
    <row r="598" spans="1:5">
      <c r="A598" s="1" t="str">
        <f>"血细胞分析(五分类)(免费)"</f>
        <v>血细胞分析(五分类)(免费)</v>
      </c>
      <c r="B598" s="1" t="str">
        <f t="shared" si="115"/>
        <v>0</v>
      </c>
      <c r="C598" s="1" t="str">
        <f t="shared" si="116"/>
        <v>0</v>
      </c>
      <c r="D598" s="1" t="str">
        <f t="shared" si="117"/>
        <v>项</v>
      </c>
      <c r="E598" s="1" t="str">
        <f t="shared" ref="E598:E613" si="118">"检验费"</f>
        <v>检验费</v>
      </c>
    </row>
    <row r="599" spans="1:5">
      <c r="A599" s="1" t="str">
        <f>"血清白蛋白测定（免费）"</f>
        <v>血清白蛋白测定（免费）</v>
      </c>
      <c r="B599" s="1" t="str">
        <f t="shared" si="115"/>
        <v>0</v>
      </c>
      <c r="C599" s="1" t="str">
        <f t="shared" si="116"/>
        <v>0</v>
      </c>
      <c r="D599" s="1" t="str">
        <f t="shared" si="117"/>
        <v>项</v>
      </c>
      <c r="E599" s="1" t="str">
        <f t="shared" si="118"/>
        <v>检验费</v>
      </c>
    </row>
    <row r="600" spans="1:5">
      <c r="A600" s="1" t="str">
        <f>"血清总胆红素测定（免费）"</f>
        <v>血清总胆红素测定（免费）</v>
      </c>
      <c r="B600" s="1" t="str">
        <f t="shared" si="115"/>
        <v>0</v>
      </c>
      <c r="C600" s="1" t="str">
        <f t="shared" si="116"/>
        <v>0</v>
      </c>
      <c r="D600" s="1" t="str">
        <f t="shared" si="117"/>
        <v>项</v>
      </c>
      <c r="E600" s="1" t="str">
        <f t="shared" si="118"/>
        <v>检验费</v>
      </c>
    </row>
    <row r="601" spans="1:5">
      <c r="A601" s="1" t="str">
        <f>"血清直接胆红素测定（免费）"</f>
        <v>血清直接胆红素测定（免费）</v>
      </c>
      <c r="B601" s="1" t="str">
        <f t="shared" si="115"/>
        <v>0</v>
      </c>
      <c r="C601" s="1" t="str">
        <f t="shared" si="116"/>
        <v>0</v>
      </c>
      <c r="D601" s="1" t="str">
        <f t="shared" si="117"/>
        <v>项</v>
      </c>
      <c r="E601" s="1" t="str">
        <f t="shared" si="118"/>
        <v>检验费</v>
      </c>
    </row>
    <row r="602" spans="1:5">
      <c r="A602" s="1" t="str">
        <f>"血清丙氨酸氨基转移酶测定（免费）"</f>
        <v>血清丙氨酸氨基转移酶测定（免费）</v>
      </c>
      <c r="B602" s="1" t="str">
        <f t="shared" si="115"/>
        <v>0</v>
      </c>
      <c r="C602" s="1" t="str">
        <f t="shared" si="116"/>
        <v>0</v>
      </c>
      <c r="D602" s="1" t="str">
        <f t="shared" si="117"/>
        <v>项</v>
      </c>
      <c r="E602" s="1" t="str">
        <f t="shared" si="118"/>
        <v>检验费</v>
      </c>
    </row>
    <row r="603" spans="1:5">
      <c r="A603" s="1" t="str">
        <f>"血清天门冬氨酸基转移酶测定（免费）"</f>
        <v>血清天门冬氨酸基转移酶测定（免费）</v>
      </c>
      <c r="B603" s="1" t="str">
        <f t="shared" si="115"/>
        <v>0</v>
      </c>
      <c r="C603" s="1" t="str">
        <f t="shared" si="116"/>
        <v>0</v>
      </c>
      <c r="D603" s="1" t="str">
        <f t="shared" si="117"/>
        <v>项</v>
      </c>
      <c r="E603" s="1" t="str">
        <f t="shared" si="118"/>
        <v>检验费</v>
      </c>
    </row>
    <row r="604" spans="1:5">
      <c r="A604" s="1" t="str">
        <f>"尿素测定（免费）"</f>
        <v>尿素测定（免费）</v>
      </c>
      <c r="B604" s="1" t="str">
        <f t="shared" si="115"/>
        <v>0</v>
      </c>
      <c r="C604" s="1" t="str">
        <f t="shared" si="116"/>
        <v>0</v>
      </c>
      <c r="D604" s="1" t="str">
        <f t="shared" si="117"/>
        <v>项</v>
      </c>
      <c r="E604" s="1" t="str">
        <f t="shared" si="118"/>
        <v>检验费</v>
      </c>
    </row>
    <row r="605" spans="1:5">
      <c r="A605" s="1" t="str">
        <f>"肌酐测定（免费）"</f>
        <v>肌酐测定（免费）</v>
      </c>
      <c r="B605" s="1" t="str">
        <f t="shared" si="115"/>
        <v>0</v>
      </c>
      <c r="C605" s="1" t="str">
        <f t="shared" si="116"/>
        <v>0</v>
      </c>
      <c r="D605" s="1" t="str">
        <f t="shared" si="117"/>
        <v>项</v>
      </c>
      <c r="E605" s="1" t="str">
        <f t="shared" si="118"/>
        <v>检验费</v>
      </c>
    </row>
    <row r="606" spans="1:5">
      <c r="A606" s="1" t="str">
        <f>"乙型肝炎核心抗体测定(Anti）(免费)"</f>
        <v>乙型肝炎核心抗体测定(Anti）(免费)</v>
      </c>
      <c r="B606" s="1" t="str">
        <f t="shared" si="115"/>
        <v>0</v>
      </c>
      <c r="C606" s="1" t="str">
        <f t="shared" si="116"/>
        <v>0</v>
      </c>
      <c r="D606" s="1" t="str">
        <f t="shared" si="117"/>
        <v>项</v>
      </c>
      <c r="E606" s="1" t="str">
        <f t="shared" si="118"/>
        <v>检验费</v>
      </c>
    </row>
    <row r="607" spans="1:5">
      <c r="A607" s="1" t="str">
        <f>"ABO血型鉴定"</f>
        <v>ABO血型鉴定</v>
      </c>
      <c r="B607" s="1" t="str">
        <f t="shared" si="115"/>
        <v>0</v>
      </c>
      <c r="C607" s="1" t="str">
        <f t="shared" si="116"/>
        <v>0</v>
      </c>
      <c r="D607" s="1" t="str">
        <f t="shared" si="117"/>
        <v>项</v>
      </c>
      <c r="E607" s="1" t="str">
        <f t="shared" si="118"/>
        <v>检验费</v>
      </c>
    </row>
    <row r="608" spans="1:5">
      <c r="A608" s="1" t="str">
        <f>"乙型肝炎表面抗原测定(HBsAg)ELISA法（妇科减免）"</f>
        <v>乙型肝炎表面抗原测定(HBsAg)ELISA法（妇科减免）</v>
      </c>
      <c r="B608" s="1" t="str">
        <f t="shared" si="115"/>
        <v>0</v>
      </c>
      <c r="C608" s="1" t="str">
        <f t="shared" si="116"/>
        <v>0</v>
      </c>
      <c r="D608" s="1" t="str">
        <f t="shared" si="117"/>
        <v>项</v>
      </c>
      <c r="E608" s="1" t="str">
        <f t="shared" si="118"/>
        <v>检验费</v>
      </c>
    </row>
    <row r="609" spans="1:5">
      <c r="A609" s="1" t="str">
        <f>"乙型肝炎表面抗体测定(Anti-HBs)ELISA法（妇科减免）"</f>
        <v>乙型肝炎表面抗体测定(Anti-HBs)ELISA法（妇科减免）</v>
      </c>
      <c r="B609" s="1" t="str">
        <f t="shared" si="115"/>
        <v>0</v>
      </c>
      <c r="C609" s="1" t="str">
        <f t="shared" si="116"/>
        <v>0</v>
      </c>
      <c r="D609" s="1" t="str">
        <f t="shared" si="117"/>
        <v>项</v>
      </c>
      <c r="E609" s="1" t="str">
        <f t="shared" si="118"/>
        <v>检验费</v>
      </c>
    </row>
    <row r="610" spans="1:5">
      <c r="A610" s="1" t="str">
        <f>"乙型肝炎e抗原测定(HBeAg)（免疫学法）（妇科减免）"</f>
        <v>乙型肝炎e抗原测定(HBeAg)（免疫学法）（妇科减免）</v>
      </c>
      <c r="B610" s="1" t="str">
        <f t="shared" si="115"/>
        <v>0</v>
      </c>
      <c r="C610" s="1" t="str">
        <f t="shared" si="116"/>
        <v>0</v>
      </c>
      <c r="D610" s="1" t="str">
        <f t="shared" si="117"/>
        <v>项</v>
      </c>
      <c r="E610" s="1" t="str">
        <f t="shared" si="118"/>
        <v>检验费</v>
      </c>
    </row>
    <row r="611" spans="1:5">
      <c r="A611" s="1" t="str">
        <f>"乙型肝炎e抗体测定(Anti-HBe)免疫学法（妇科减免）"</f>
        <v>乙型肝炎e抗体测定(Anti-HBe)免疫学法（妇科减免）</v>
      </c>
      <c r="B611" s="1" t="str">
        <f t="shared" si="115"/>
        <v>0</v>
      </c>
      <c r="C611" s="1" t="str">
        <f t="shared" si="116"/>
        <v>0</v>
      </c>
      <c r="D611" s="1" t="str">
        <f t="shared" si="117"/>
        <v>项</v>
      </c>
      <c r="E611" s="1" t="str">
        <f t="shared" si="118"/>
        <v>检验费</v>
      </c>
    </row>
    <row r="612" spans="1:5">
      <c r="A612" s="1" t="str">
        <f>"电脑血糖监测（签约服务包专用）"</f>
        <v>电脑血糖监测（签约服务包专用）</v>
      </c>
      <c r="B612" s="1">
        <v>2</v>
      </c>
      <c r="C612" s="1">
        <v>5</v>
      </c>
      <c r="D612" s="1" t="str">
        <f t="shared" si="117"/>
        <v>项</v>
      </c>
      <c r="E612" s="1" t="str">
        <f t="shared" si="118"/>
        <v>检验费</v>
      </c>
    </row>
    <row r="613" spans="1:5">
      <c r="A613" s="1" t="str">
        <f>"尿液分析（妇儿保专用）"</f>
        <v>尿液分析（妇儿保专用）</v>
      </c>
      <c r="B613" s="1" t="str">
        <f t="shared" ref="B613:B622" si="119">"0"</f>
        <v>0</v>
      </c>
      <c r="C613" s="1" t="str">
        <f>"0"</f>
        <v>0</v>
      </c>
      <c r="D613" s="1" t="str">
        <f t="shared" si="117"/>
        <v>项</v>
      </c>
      <c r="E613" s="1" t="str">
        <f t="shared" si="118"/>
        <v>检验费</v>
      </c>
    </row>
    <row r="614" spans="1:5">
      <c r="A614" s="1" t="str">
        <f>"家庭医生签约基本服务包"</f>
        <v>家庭医生签约基本服务包</v>
      </c>
      <c r="B614" s="1">
        <v>15</v>
      </c>
      <c r="C614" s="1">
        <v>15</v>
      </c>
      <c r="D614" s="1" t="str">
        <f t="shared" si="117"/>
        <v>项</v>
      </c>
      <c r="E614" s="1" t="str">
        <f>"签约服务费"</f>
        <v>签约服务费</v>
      </c>
    </row>
    <row r="615" spans="1:5">
      <c r="A615" s="1" t="str">
        <f>"葡萄糖测定（免费）"</f>
        <v>葡萄糖测定（免费）</v>
      </c>
      <c r="B615" s="1" t="str">
        <f t="shared" si="119"/>
        <v>0</v>
      </c>
      <c r="C615" s="1" t="str">
        <f>"0"</f>
        <v>0</v>
      </c>
      <c r="D615" s="1" t="str">
        <f t="shared" ref="D615:D623" si="120">"次"</f>
        <v>次</v>
      </c>
      <c r="E615" s="1" t="str">
        <f>"检验费"</f>
        <v>检验费</v>
      </c>
    </row>
    <row r="616" spans="1:5">
      <c r="A616" s="1" t="str">
        <f>"普通针刺(家医签约)"</f>
        <v>普通针刺(家医签约)</v>
      </c>
      <c r="B616" s="1">
        <v>5</v>
      </c>
      <c r="C616" s="1">
        <v>32</v>
      </c>
      <c r="D616" s="1" t="str">
        <f t="shared" si="120"/>
        <v>次</v>
      </c>
      <c r="E616" s="1" t="str">
        <f t="shared" ref="E616:E620" si="121">"治疗费"</f>
        <v>治疗费</v>
      </c>
    </row>
    <row r="617" spans="1:5">
      <c r="A617" s="1" t="str">
        <f>"微针针刺(家医签约)"</f>
        <v>微针针刺(家医签约)</v>
      </c>
      <c r="B617" s="1">
        <v>5</v>
      </c>
      <c r="C617" s="1">
        <v>32</v>
      </c>
      <c r="D617" s="1" t="str">
        <f t="shared" si="120"/>
        <v>次</v>
      </c>
      <c r="E617" s="1" t="str">
        <f t="shared" si="121"/>
        <v>治疗费</v>
      </c>
    </row>
    <row r="618" spans="1:5">
      <c r="A618" s="1" t="str">
        <f>"拔罐疗法(家医签约)"</f>
        <v>拔罐疗法(家医签约)</v>
      </c>
      <c r="B618" s="1" t="str">
        <f t="shared" si="119"/>
        <v>0</v>
      </c>
      <c r="C618" s="1">
        <v>21</v>
      </c>
      <c r="D618" s="1" t="str">
        <f t="shared" si="120"/>
        <v>次</v>
      </c>
      <c r="E618" s="1" t="str">
        <f t="shared" si="121"/>
        <v>治疗费</v>
      </c>
    </row>
    <row r="619" spans="1:5">
      <c r="A619" s="1" t="str">
        <f>"红外线治疗(家医签约)"</f>
        <v>红外线治疗(家医签约)</v>
      </c>
      <c r="B619" s="1" t="str">
        <f t="shared" si="119"/>
        <v>0</v>
      </c>
      <c r="C619" s="1">
        <v>7</v>
      </c>
      <c r="D619" s="1" t="str">
        <f t="shared" si="120"/>
        <v>次</v>
      </c>
      <c r="E619" s="1" t="str">
        <f t="shared" si="121"/>
        <v>治疗费</v>
      </c>
    </row>
    <row r="620" spans="1:5">
      <c r="A620" s="1" t="str">
        <f>"耳针(家医签约)"</f>
        <v>耳针(家医签约)</v>
      </c>
      <c r="B620" s="1" t="str">
        <f t="shared" si="119"/>
        <v>0</v>
      </c>
      <c r="C620" s="1">
        <v>24</v>
      </c>
      <c r="D620" s="1" t="str">
        <f t="shared" si="120"/>
        <v>次</v>
      </c>
      <c r="E620" s="1" t="str">
        <f t="shared" si="121"/>
        <v>治疗费</v>
      </c>
    </row>
    <row r="621" spans="1:5">
      <c r="A621" s="1" t="str">
        <f>"梅毒螺旋体特异性抗体测定（TPPA）免费"</f>
        <v>梅毒螺旋体特异性抗体测定（TPPA）免费</v>
      </c>
      <c r="B621" s="1" t="str">
        <f t="shared" si="119"/>
        <v>0</v>
      </c>
      <c r="C621" s="1" t="str">
        <f t="shared" ref="C621:C626" si="122">"0"</f>
        <v>0</v>
      </c>
      <c r="D621" s="1" t="str">
        <f t="shared" si="120"/>
        <v>次</v>
      </c>
      <c r="E621" s="1" t="str">
        <f t="shared" ref="E621:E624" si="123">"检验费"</f>
        <v>检验费</v>
      </c>
    </row>
    <row r="622" spans="1:5">
      <c r="A622" s="1" t="str">
        <f>"人免疫缺陷病毒抗体测定（HIV）免费"</f>
        <v>人免疫缺陷病毒抗体测定（HIV）免费</v>
      </c>
      <c r="B622" s="1" t="str">
        <f t="shared" si="119"/>
        <v>0</v>
      </c>
      <c r="C622" s="1" t="str">
        <f t="shared" si="122"/>
        <v>0</v>
      </c>
      <c r="D622" s="1" t="str">
        <f t="shared" si="120"/>
        <v>次</v>
      </c>
      <c r="E622" s="1" t="str">
        <f t="shared" si="123"/>
        <v>检验费</v>
      </c>
    </row>
    <row r="623" spans="1:5">
      <c r="A623" s="1" t="str">
        <f>"阴道分泌物检查"</f>
        <v>阴道分泌物检查</v>
      </c>
      <c r="B623" s="1">
        <v>2</v>
      </c>
      <c r="C623" s="1">
        <v>2</v>
      </c>
      <c r="D623" s="1" t="str">
        <f t="shared" si="120"/>
        <v>次</v>
      </c>
      <c r="E623" s="1" t="str">
        <f t="shared" si="123"/>
        <v>检验费</v>
      </c>
    </row>
    <row r="624" spans="1:5">
      <c r="A624" s="1" t="str">
        <f>"唐氏综合筛查及唐氏综合症风险率计算（免费）"</f>
        <v>唐氏综合筛查及唐氏综合症风险率计算（免费）</v>
      </c>
      <c r="B624" s="1" t="str">
        <f t="shared" ref="B624:B626" si="124">"0"</f>
        <v>0</v>
      </c>
      <c r="C624" s="1" t="str">
        <f t="shared" si="122"/>
        <v>0</v>
      </c>
      <c r="D624" s="1" t="str">
        <f>"项"</f>
        <v>项</v>
      </c>
      <c r="E624" s="1" t="str">
        <f t="shared" si="123"/>
        <v>检验费</v>
      </c>
    </row>
    <row r="625" spans="1:5">
      <c r="A625" s="1" t="str">
        <f>"隔物灸（家医签约）"</f>
        <v>隔物灸（家医签约）</v>
      </c>
      <c r="B625" s="1" t="str">
        <f t="shared" si="124"/>
        <v>0</v>
      </c>
      <c r="C625" s="1" t="str">
        <f t="shared" si="122"/>
        <v>0</v>
      </c>
      <c r="D625" s="1" t="str">
        <f t="shared" ref="D625:D627" si="125">"次"</f>
        <v>次</v>
      </c>
      <c r="E625" s="1" t="str">
        <f>"治疗费"</f>
        <v>治疗费</v>
      </c>
    </row>
    <row r="626" spans="1:5">
      <c r="A626" s="1" t="str">
        <f>"ABO.RHD血型鉴定（免费）"</f>
        <v>ABO.RHD血型鉴定（免费）</v>
      </c>
      <c r="B626" s="1" t="str">
        <f t="shared" si="124"/>
        <v>0</v>
      </c>
      <c r="C626" s="1" t="str">
        <f t="shared" si="122"/>
        <v>0</v>
      </c>
      <c r="D626" s="1" t="str">
        <f t="shared" si="125"/>
        <v>次</v>
      </c>
      <c r="E626" s="1" t="str">
        <f>"检验费"</f>
        <v>检验费</v>
      </c>
    </row>
    <row r="627" spans="1:5">
      <c r="A627" s="1" t="str">
        <f>"中医刮痧（家医签约）"</f>
        <v>中医刮痧（家医签约）</v>
      </c>
      <c r="B627" s="1">
        <v>45</v>
      </c>
      <c r="C627" s="1">
        <v>45</v>
      </c>
      <c r="D627" s="1" t="str">
        <f t="shared" si="125"/>
        <v>次</v>
      </c>
      <c r="E627" s="1" t="str">
        <f>"治疗费"</f>
        <v>治疗费</v>
      </c>
    </row>
    <row r="628" spans="1:5">
      <c r="A628" s="1" t="str">
        <f>"多排螺旋CT平扫(足)"</f>
        <v>多排螺旋CT平扫(足)</v>
      </c>
      <c r="B628" s="1">
        <v>140</v>
      </c>
      <c r="C628" s="1">
        <v>220</v>
      </c>
      <c r="D628" s="1" t="str">
        <f t="shared" ref="D628:D633" si="126">"项"</f>
        <v>项</v>
      </c>
      <c r="E628" s="1" t="str">
        <f t="shared" ref="E628:E636" si="127">"CT费"</f>
        <v>CT费</v>
      </c>
    </row>
    <row r="629" spans="1:5">
      <c r="A629" s="1" t="str">
        <f>"多排螺旋CT平扫(颅脑)"</f>
        <v>多排螺旋CT平扫(颅脑)</v>
      </c>
      <c r="B629" s="1">
        <v>140</v>
      </c>
      <c r="C629" s="1">
        <v>220</v>
      </c>
      <c r="D629" s="1" t="str">
        <f t="shared" si="126"/>
        <v>项</v>
      </c>
      <c r="E629" s="1" t="str">
        <f t="shared" si="127"/>
        <v>CT费</v>
      </c>
    </row>
    <row r="630" spans="1:5">
      <c r="A630" s="1" t="str">
        <f>"多排螺旋CT平扫(中腹部)"</f>
        <v>多排螺旋CT平扫(中腹部)</v>
      </c>
      <c r="B630" s="1">
        <v>140</v>
      </c>
      <c r="C630" s="1">
        <v>220</v>
      </c>
      <c r="D630" s="1" t="str">
        <f t="shared" si="126"/>
        <v>项</v>
      </c>
      <c r="E630" s="1" t="str">
        <f t="shared" si="127"/>
        <v>CT费</v>
      </c>
    </row>
    <row r="631" spans="1:5">
      <c r="A631" s="1" t="str">
        <f>"多排螺旋CT平扫(上腹部)"</f>
        <v>多排螺旋CT平扫(上腹部)</v>
      </c>
      <c r="B631" s="1">
        <v>140</v>
      </c>
      <c r="C631" s="1">
        <v>220</v>
      </c>
      <c r="D631" s="1" t="str">
        <f t="shared" si="126"/>
        <v>项</v>
      </c>
      <c r="E631" s="1" t="str">
        <f t="shared" si="127"/>
        <v>CT费</v>
      </c>
    </row>
    <row r="632" spans="1:5">
      <c r="A632" s="1" t="str">
        <f>"多排螺旋CT平扫(双髋关节)"</f>
        <v>多排螺旋CT平扫(双髋关节)</v>
      </c>
      <c r="B632" s="1">
        <v>140</v>
      </c>
      <c r="C632" s="1">
        <v>220</v>
      </c>
      <c r="D632" s="1" t="str">
        <f t="shared" si="126"/>
        <v>项</v>
      </c>
      <c r="E632" s="1" t="str">
        <f t="shared" si="127"/>
        <v>CT费</v>
      </c>
    </row>
    <row r="633" spans="1:5">
      <c r="A633" s="1" t="str">
        <f>"多排螺旋CT平扫(颅底)"</f>
        <v>多排螺旋CT平扫(颅底)</v>
      </c>
      <c r="B633" s="1">
        <v>140</v>
      </c>
      <c r="C633" s="1">
        <v>220</v>
      </c>
      <c r="D633" s="1" t="str">
        <f t="shared" si="126"/>
        <v>项</v>
      </c>
      <c r="E633" s="1" t="str">
        <f t="shared" si="127"/>
        <v>CT费</v>
      </c>
    </row>
    <row r="634" spans="1:5">
      <c r="A634" s="1" t="str">
        <f>"多排螺旋CT平扫(胸部)"</f>
        <v>多排螺旋CT平扫(胸部)</v>
      </c>
      <c r="B634" s="1">
        <v>140</v>
      </c>
      <c r="C634" s="1">
        <v>220</v>
      </c>
      <c r="D634" s="1" t="str">
        <f>"每部位"</f>
        <v>每部位</v>
      </c>
      <c r="E634" s="1" t="str">
        <f t="shared" si="127"/>
        <v>CT费</v>
      </c>
    </row>
    <row r="635" spans="1:5">
      <c r="A635" s="1" t="str">
        <f>"多排螺旋CT平扫(肩胛骨)"</f>
        <v>多排螺旋CT平扫(肩胛骨)</v>
      </c>
      <c r="B635" s="1">
        <v>140</v>
      </c>
      <c r="C635" s="1">
        <v>220</v>
      </c>
      <c r="D635" s="1" t="str">
        <f t="shared" ref="D635:D641" si="128">"项"</f>
        <v>项</v>
      </c>
      <c r="E635" s="1" t="str">
        <f t="shared" si="127"/>
        <v>CT费</v>
      </c>
    </row>
    <row r="636" spans="1:5">
      <c r="A636" s="1" t="str">
        <f>"多排螺旋CT平扫(肘关节)"</f>
        <v>多排螺旋CT平扫(肘关节)</v>
      </c>
      <c r="B636" s="1">
        <v>140</v>
      </c>
      <c r="C636" s="1">
        <v>220</v>
      </c>
      <c r="D636" s="1" t="str">
        <f t="shared" si="128"/>
        <v>项</v>
      </c>
      <c r="E636" s="1" t="str">
        <f t="shared" si="127"/>
        <v>CT费</v>
      </c>
    </row>
    <row r="637" spans="1:5">
      <c r="A637" s="1" t="str">
        <f>"重组带状疱疹疫苗（欣安立适 免费）"</f>
        <v>重组带状疱疹疫苗（欣安立适 免费）</v>
      </c>
      <c r="B637" s="1" t="str">
        <f>"0"</f>
        <v>0</v>
      </c>
      <c r="C637" s="1" t="str">
        <f>"0"</f>
        <v>0</v>
      </c>
      <c r="D637" s="1" t="str">
        <f>"支"</f>
        <v>支</v>
      </c>
      <c r="E637" s="1" t="str">
        <f>"生物制品"</f>
        <v>生物制品</v>
      </c>
    </row>
    <row r="638" spans="1:5">
      <c r="A638" s="1" t="str">
        <f>"九价人乳头瘤病毒疫苗（优惠）"</f>
        <v>九价人乳头瘤病毒疫苗（优惠）</v>
      </c>
      <c r="B638" s="1">
        <v>1212</v>
      </c>
      <c r="C638" s="1">
        <v>1212</v>
      </c>
      <c r="D638" s="1" t="str">
        <f>"支"</f>
        <v>支</v>
      </c>
      <c r="E638" s="1" t="str">
        <f>"生物制品"</f>
        <v>生物制品</v>
      </c>
    </row>
    <row r="639" spans="1:5">
      <c r="A639" s="1" t="str">
        <f>"预防接种服务费"</f>
        <v>预防接种服务费</v>
      </c>
      <c r="B639" s="1">
        <v>20</v>
      </c>
      <c r="C639" s="1">
        <v>20</v>
      </c>
      <c r="D639" s="1" t="str">
        <f>"次"</f>
        <v>次</v>
      </c>
      <c r="E639" s="1" t="str">
        <f>"预防接种费"</f>
        <v>预防接种费</v>
      </c>
    </row>
    <row r="640" spans="1:5">
      <c r="A640" s="1" t="str">
        <f>"省级离休干部签约费"</f>
        <v>省级离休干部签约费</v>
      </c>
      <c r="B640" s="1">
        <v>1200</v>
      </c>
      <c r="C640" s="1">
        <v>1200</v>
      </c>
      <c r="D640" s="1" t="str">
        <f t="shared" si="128"/>
        <v>项</v>
      </c>
      <c r="E640" s="1" t="str">
        <f>"签约服务费"</f>
        <v>签约服务费</v>
      </c>
    </row>
    <row r="641" spans="1:5">
      <c r="A641" s="1" t="str">
        <f>"省级离休干部签约服务费（每月）"</f>
        <v>省级离休干部签约服务费（每月）</v>
      </c>
      <c r="B641" s="1">
        <v>100</v>
      </c>
      <c r="C641" s="1">
        <v>100</v>
      </c>
      <c r="D641" s="1" t="str">
        <f t="shared" si="128"/>
        <v>项</v>
      </c>
      <c r="E641" s="1" t="str">
        <f>"签约服务费"</f>
        <v>签约服务费</v>
      </c>
    </row>
  </sheetData>
  <autoFilter ref="E1:E641">
    <extLst/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挹江门收费项目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dcterms:created xsi:type="dcterms:W3CDTF">2025-03-10T05:43:00Z</dcterms:created>
  <dcterms:modified xsi:type="dcterms:W3CDTF">2025-05-22T08:20:11Z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B1DBEDD5D8114B06A6F486D3A03F4C0A_13</vt:lpwstr>
  </property>
  <property fmtid="{D5CDD505-2E9C-101B-9397-08002B2CF9AE}" pid="3" name="KSOProductBuildVer">
    <vt:lpwstr>2052-12.1.0.20305</vt:lpwstr>
  </property>
</Properties>
</file>